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5580" yWindow="1425" windowWidth="14805" windowHeight="7890"/>
  </bookViews>
  <sheets>
    <sheet name="59" sheetId="1" r:id="rId1"/>
    <sheet name="60" sheetId="3" r:id="rId2"/>
    <sheet name="61" sheetId="2" r:id="rId3"/>
  </sheets>
  <externalReferences>
    <externalReference r:id="rId4"/>
  </externalReferences>
  <definedNames>
    <definedName name="_xlnm.Print_Area" localSheetId="2">'61'!$A$1:$F$35</definedName>
    <definedName name="_xlnm.Print_Titles" localSheetId="1">'60'!$7:$8</definedName>
    <definedName name="_xlnm.Print_Titles" localSheetId="2">'61'!$7:$8</definedName>
  </definedNames>
  <calcPr calcId="144525"/>
</workbook>
</file>

<file path=xl/calcChain.xml><?xml version="1.0" encoding="utf-8"?>
<calcChain xmlns="http://schemas.openxmlformats.org/spreadsheetml/2006/main">
  <c r="F11" i="1" l="1"/>
  <c r="D11" i="1"/>
  <c r="E16" i="1"/>
  <c r="D16" i="1"/>
  <c r="C16" i="1"/>
  <c r="D19" i="3"/>
  <c r="L11" i="3"/>
  <c r="F17" i="1" l="1"/>
  <c r="F40" i="3" l="1"/>
  <c r="D12" i="3"/>
  <c r="D11" i="3"/>
  <c r="D43" i="3" s="1"/>
  <c r="K43" i="3"/>
  <c r="K42" i="3"/>
  <c r="D42" i="3" l="1"/>
  <c r="D23" i="1" l="1"/>
  <c r="D25" i="1"/>
  <c r="D19" i="2"/>
  <c r="D20" i="2"/>
  <c r="D21" i="2"/>
  <c r="D22" i="2"/>
  <c r="D23" i="2"/>
  <c r="D24" i="2"/>
  <c r="D25" i="2"/>
  <c r="D26" i="2"/>
  <c r="D27" i="2"/>
  <c r="D18" i="2"/>
  <c r="J20" i="2"/>
  <c r="D13" i="2"/>
  <c r="I13" i="2"/>
  <c r="F34" i="3" l="1"/>
  <c r="E25" i="3"/>
  <c r="E24" i="3"/>
  <c r="D24" i="1"/>
  <c r="D22" i="1"/>
  <c r="D21" i="1"/>
  <c r="D15" i="1"/>
  <c r="G32" i="2" l="1"/>
  <c r="G12" i="2"/>
  <c r="G11" i="2" s="1"/>
  <c r="G10" i="2" s="1"/>
  <c r="C19" i="3" l="1"/>
  <c r="C12" i="3"/>
  <c r="E13" i="3"/>
  <c r="F13" i="3"/>
  <c r="C11" i="3"/>
  <c r="C32" i="3"/>
  <c r="C41" i="3"/>
  <c r="C10" i="3" l="1"/>
  <c r="F21" i="3"/>
  <c r="F12" i="3"/>
  <c r="H12" i="3"/>
  <c r="D12" i="2" l="1"/>
  <c r="J18" i="2"/>
  <c r="F12" i="2" l="1"/>
  <c r="D20" i="1"/>
  <c r="E34" i="2"/>
  <c r="J16" i="2" l="1"/>
  <c r="J21" i="2"/>
  <c r="J22" i="2"/>
  <c r="J26" i="2"/>
  <c r="J27" i="2"/>
  <c r="J25" i="2"/>
  <c r="H18" i="2"/>
  <c r="J24" i="2"/>
  <c r="J23" i="2"/>
  <c r="J15" i="2" l="1"/>
  <c r="K16" i="2"/>
  <c r="D41" i="3" l="1"/>
  <c r="H32" i="2" l="1"/>
  <c r="D32" i="2"/>
  <c r="L27" i="2"/>
  <c r="L25" i="2"/>
  <c r="L21" i="2"/>
  <c r="L18" i="2"/>
  <c r="I32" i="2" l="1"/>
  <c r="D26" i="1"/>
  <c r="F33" i="2"/>
  <c r="M18" i="2"/>
  <c r="L16" i="2" l="1"/>
  <c r="E28" i="2" l="1"/>
  <c r="E27" i="2"/>
  <c r="F23" i="1" l="1"/>
  <c r="F22" i="1"/>
  <c r="E30" i="2" l="1"/>
  <c r="F34" i="2" l="1"/>
  <c r="F24" i="3" l="1"/>
  <c r="F29" i="2" l="1"/>
  <c r="E29" i="2"/>
  <c r="F21" i="1" l="1"/>
  <c r="E28" i="1"/>
  <c r="E42" i="3"/>
  <c r="F16" i="2"/>
  <c r="M26" i="2" l="1"/>
  <c r="M25" i="2"/>
  <c r="E33" i="2"/>
  <c r="F43" i="3" l="1"/>
  <c r="F42" i="3"/>
  <c r="F41" i="3"/>
  <c r="F38" i="3"/>
  <c r="F35" i="3"/>
  <c r="F33" i="3"/>
  <c r="F30" i="3"/>
  <c r="F29" i="3"/>
  <c r="F28" i="3"/>
  <c r="F27" i="3"/>
  <c r="F26" i="3"/>
  <c r="F23" i="3"/>
  <c r="F22" i="3"/>
  <c r="F19" i="3"/>
  <c r="F17" i="3"/>
  <c r="F16" i="3"/>
  <c r="F15" i="3"/>
  <c r="F14" i="3"/>
  <c r="F18" i="3" l="1"/>
  <c r="F35" i="2"/>
  <c r="E35" i="2"/>
  <c r="F27" i="2"/>
  <c r="F26" i="2"/>
  <c r="E26" i="2"/>
  <c r="F25" i="2"/>
  <c r="E25" i="2"/>
  <c r="F24" i="2"/>
  <c r="E24" i="2"/>
  <c r="F23" i="2"/>
  <c r="E23" i="2"/>
  <c r="F22" i="2"/>
  <c r="E22" i="2"/>
  <c r="F21" i="2"/>
  <c r="E21" i="2"/>
  <c r="F20" i="2"/>
  <c r="E20" i="2"/>
  <c r="F19" i="2"/>
  <c r="E19" i="2"/>
  <c r="F18" i="2"/>
  <c r="E18" i="2"/>
  <c r="E16" i="2"/>
  <c r="C32" i="2"/>
  <c r="C12" i="2"/>
  <c r="C11" i="2" s="1"/>
  <c r="D32" i="3"/>
  <c r="D10" i="3" s="1"/>
  <c r="E43" i="3"/>
  <c r="E35" i="3"/>
  <c r="E33" i="3"/>
  <c r="E30" i="3"/>
  <c r="E29" i="3"/>
  <c r="E28" i="3"/>
  <c r="E27" i="3"/>
  <c r="E26" i="3"/>
  <c r="E23" i="3"/>
  <c r="E22" i="3"/>
  <c r="E21" i="3"/>
  <c r="E18" i="3"/>
  <c r="E17" i="3"/>
  <c r="E16" i="3"/>
  <c r="E15" i="3"/>
  <c r="E14" i="3"/>
  <c r="E12" i="3"/>
  <c r="E27" i="1"/>
  <c r="E24" i="1"/>
  <c r="E23" i="1"/>
  <c r="E22" i="1"/>
  <c r="E21" i="1"/>
  <c r="F32" i="3" l="1"/>
  <c r="D14" i="1"/>
  <c r="H10" i="3"/>
  <c r="D12" i="1"/>
  <c r="F32" i="2"/>
  <c r="F10" i="3"/>
  <c r="F11" i="3"/>
  <c r="D19" i="1"/>
  <c r="F19" i="1" s="1"/>
  <c r="E20" i="1"/>
  <c r="E32" i="2"/>
  <c r="C10" i="2"/>
  <c r="E19" i="3"/>
  <c r="E11" i="3"/>
  <c r="E41" i="3"/>
  <c r="E32" i="3"/>
  <c r="F14" i="1" l="1"/>
  <c r="E14" i="1"/>
  <c r="F12" i="1"/>
  <c r="E12" i="1"/>
  <c r="F26" i="1"/>
  <c r="E26" i="1"/>
  <c r="D18" i="1"/>
  <c r="F18" i="1" s="1"/>
  <c r="E19" i="1"/>
  <c r="E10" i="3"/>
  <c r="D10" i="1" l="1"/>
  <c r="E11" i="1"/>
  <c r="E18" i="1"/>
  <c r="F20" i="1"/>
  <c r="E13" i="2"/>
  <c r="F13" i="2"/>
  <c r="E10" i="1" l="1"/>
  <c r="F10" i="1"/>
  <c r="E12" i="2"/>
  <c r="D11" i="2"/>
  <c r="E11" i="2" s="1"/>
  <c r="D10" i="2" l="1"/>
  <c r="F11" i="2"/>
  <c r="F10" i="2" l="1"/>
  <c r="E10" i="2"/>
</calcChain>
</file>

<file path=xl/comments1.xml><?xml version="1.0" encoding="utf-8"?>
<comments xmlns="http://schemas.openxmlformats.org/spreadsheetml/2006/main">
  <authors>
    <author>Author</author>
  </authors>
  <commentList>
    <comment ref="D7" authorId="0">
      <text>
        <r>
          <rPr>
            <b/>
            <sz val="9"/>
            <color indexed="81"/>
            <rFont val="Tahoma"/>
            <charset val="163"/>
          </rPr>
          <t>Author:</t>
        </r>
        <r>
          <rPr>
            <sz val="9"/>
            <color indexed="81"/>
            <rFont val="Tahoma"/>
            <charset val="163"/>
          </rPr>
          <t xml:space="preserve">
lấy NSNN (gồm trung ương và địa phương)</t>
        </r>
      </text>
    </comment>
    <comment ref="D32" authorId="0">
      <text>
        <r>
          <rPr>
            <b/>
            <sz val="9"/>
            <color indexed="81"/>
            <rFont val="Tahoma"/>
            <family val="2"/>
          </rPr>
          <t>Author:</t>
        </r>
        <r>
          <rPr>
            <sz val="9"/>
            <color indexed="81"/>
            <rFont val="Tahoma"/>
            <family val="2"/>
          </rPr>
          <t xml:space="preserve">
chi tiết III,1</t>
        </r>
      </text>
    </comment>
  </commentList>
</comments>
</file>

<file path=xl/sharedStrings.xml><?xml version="1.0" encoding="utf-8"?>
<sst xmlns="http://schemas.openxmlformats.org/spreadsheetml/2006/main" count="207" uniqueCount="123">
  <si>
    <t>UBND TỈNH NINH THUẬN</t>
  </si>
  <si>
    <t>Biểu số 59/CK-NSNN</t>
  </si>
  <si>
    <t/>
  </si>
  <si>
    <t>SO SÁNH ƯỚC THỰC HIỆN VỚI (%)</t>
  </si>
  <si>
    <t>STT</t>
  </si>
  <si>
    <t>NỘI DUNG</t>
  </si>
  <si>
    <t>DỰ TOÁN NĂM</t>
  </si>
  <si>
    <t>CÙNG KỲ NĂM TRƯỚC</t>
  </si>
  <si>
    <t>A</t>
  </si>
  <si>
    <t>TỔNG NGUỒN THU NSNN TRÊN ĐỊA BÀN</t>
  </si>
  <si>
    <t>I</t>
  </si>
  <si>
    <t>Thu cân đối NSNN</t>
  </si>
  <si>
    <t>1</t>
  </si>
  <si>
    <t>Thu nội địa</t>
  </si>
  <si>
    <t>2</t>
  </si>
  <si>
    <t>Thu từ dầu thô</t>
  </si>
  <si>
    <t>3</t>
  </si>
  <si>
    <t>4</t>
  </si>
  <si>
    <t>Thu viện trợ</t>
  </si>
  <si>
    <t>II</t>
  </si>
  <si>
    <t>Thu chuyển nguồn từ năm trước chuyển sang</t>
  </si>
  <si>
    <t>B</t>
  </si>
  <si>
    <t>TỔNG CHI NSĐP</t>
  </si>
  <si>
    <t> I</t>
  </si>
  <si>
    <t>Chi cân đối NSĐP</t>
  </si>
  <si>
    <t>Chi đầu tư phát triển</t>
  </si>
  <si>
    <t>Chi thường xuyên</t>
  </si>
  <si>
    <t>Chi trả nợ lãi các khoản do chính quyền địa phương vay</t>
  </si>
  <si>
    <t>Chi bổ sung quỹ dự trữ tài chính</t>
  </si>
  <si>
    <t>5</t>
  </si>
  <si>
    <t>Dự phòng ngân sách</t>
  </si>
  <si>
    <t>Chi từ nguồn bổ sung có mục tiêu từ NSTW cho NSĐP</t>
  </si>
  <si>
    <t>C</t>
  </si>
  <si>
    <t>BỘI CHI NSĐP/ BỘI THU NSĐP</t>
  </si>
  <si>
    <t>D</t>
  </si>
  <si>
    <t>CHI TRẢ NỢ GỐC</t>
  </si>
  <si>
    <t>SỞ TÀI CHÍNH</t>
  </si>
  <si>
    <t>Đơn vị: Triệu Đồng</t>
  </si>
  <si>
    <t>Chi tạo nguồn, điều chỉnh tiền lương</t>
  </si>
  <si>
    <t>Biểu số 61/CK-NSNN</t>
  </si>
  <si>
    <t>TT</t>
  </si>
  <si>
    <t>CHI CÂN ĐỐI NSĐP</t>
  </si>
  <si>
    <t>Chi đầu tư cho các dự án</t>
  </si>
  <si>
    <t>Chi đầu tư và hỗ trợ vốn cho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</si>
  <si>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</si>
  <si>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</si>
  <si>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</si>
  <si>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</si>
  <si>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sự nghiệp y tế, dân số và gia đình</t>
  </si>
  <si>
    <t>Chi sự nghiệp văn hóa thông tin</t>
  </si>
  <si>
    <t>Chi sự nghiệp phát thanh, truyền hình</t>
  </si>
  <si>
    <t>6</t>
  </si>
  <si>
    <t>Chi sự nghiệp thể dục thể thao</t>
  </si>
  <si>
    <t>7</t>
  </si>
  <si>
    <t>Chi sự nghiệp bảo vệ môi trường</t>
  </si>
  <si>
    <t>8</t>
  </si>
  <si>
    <t>Chi sự nghiệp kinh tế</t>
  </si>
  <si>
    <t>9</t>
  </si>
  <si>
    <t>Chi hoạt động của cơ quan quản lý nhà nước, đảng, đoàn thể</t>
  </si>
  <si>
    <t>10</t>
  </si>
  <si>
    <t>Chi bảo đảm xã hội</t>
  </si>
  <si>
    <t>III</t>
  </si>
  <si>
    <t>IV</t>
  </si>
  <si>
    <t>V</t>
  </si>
  <si>
    <t>VI</t>
  </si>
  <si>
    <t>CHI TỪ NGUỒN BỔ SUNG CÓ MỤC TIÊU TỪ NSTW CHO NSĐP</t>
  </si>
  <si>
    <t>Chương trình mục tiêu quốc gia</t>
  </si>
  <si>
    <t>Cho các chương trình dự án quan trọng vốn đầu tư</t>
  </si>
  <si>
    <t>Cho các nhiệm vụ, chính sách kinh phí thường xuyên</t>
  </si>
  <si>
    <t>Biểu số 60/CK-NSNN</t>
  </si>
  <si>
    <t>TỔNG THU NSNN TRÊN ĐỊA BÀN</t>
  </si>
  <si>
    <t>Thu từ khu vực DNNN</t>
  </si>
  <si>
    <t>Thu từ khu vực doanh nghiệp có vốn đầu tư nước ngoài</t>
  </si>
  <si>
    <t>Thu từ khu vực kinh tế ngoài quốc doanh</t>
  </si>
  <si>
    <t>Thuế thu nhập cá nhân</t>
  </si>
  <si>
    <t>Thuế bảo vệ môi trường</t>
  </si>
  <si>
    <t>Lệ phí trước bạ</t>
  </si>
  <si>
    <t>Các loại phí, lệ phí</t>
  </si>
  <si>
    <t>Các khoản thu về nhà, đất</t>
  </si>
  <si>
    <t>-</t>
  </si>
  <si>
    <t>Thuế sử dụng đất nông nghiệp</t>
  </si>
  <si>
    <t>Thuế sử dụng đất phi nông nghiệp</t>
  </si>
  <si>
    <t>Thu tiền sử dụng đất</t>
  </si>
  <si>
    <t>Tiền cho thuê đất, thuê mặt nước</t>
  </si>
  <si>
    <t>Tiền cho thuê và tiền bán nhà ở thuộc sở hữu nhà nước</t>
  </si>
  <si>
    <t>Thu hồi vốn, thu cổ tức, lợi nhuận được chia của Nhà nước và lợi nhuận sau thuế còn lại sau khi trích lập các quỹ của doanh nghiệp nhà nước</t>
  </si>
  <si>
    <t>11</t>
  </si>
  <si>
    <t>Thu từ hoạt động xổ số kiến thiết</t>
  </si>
  <si>
    <t>12</t>
  </si>
  <si>
    <t>Thu từ quỹ đất công ích và thu hoa lợi công sản khác</t>
  </si>
  <si>
    <t>13</t>
  </si>
  <si>
    <t>Thu khác ngân sách</t>
  </si>
  <si>
    <t>Thu từ hoạt động xuất nhập khẩu</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</si>
  <si>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</si>
  <si>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</si>
  <si>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</si>
  <si>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</si>
  <si>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</si>
  <si>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</si>
  <si>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NSĐP ĐƯỢC HƯỞNG THEO PHÂN CẤP</t>
  </si>
  <si>
    <t>Từ các khoản thu phân chia</t>
  </si>
  <si>
    <t>Các khoản thu NSĐP được hưởng 100%</t>
  </si>
  <si>
    <t>Thu từ hoạt động xuất khẩu, nhập khẩu</t>
  </si>
  <si>
    <t>trừ cả số tổng</t>
  </si>
  <si>
    <t>chị hải (vốn cân đối ngân sách địa phương)</t>
  </si>
  <si>
    <t>B4-02 kho ns</t>
  </si>
  <si>
    <t>Số chi TX = B301 - chi tiết mục lục sự nghiệp biểu B4-02</t>
  </si>
  <si>
    <t>CTMT</t>
  </si>
  <si>
    <t>Khác</t>
  </si>
  <si>
    <t>3=2/1</t>
  </si>
  <si>
    <t>tháng 10</t>
  </si>
  <si>
    <t>tháng 9</t>
  </si>
  <si>
    <t>CÂN ĐỐI NGÂN SÁCH ĐỊA PHƯƠNG NĂM 2024</t>
  </si>
  <si>
    <t>DỰ TOÁN NĂM 2024</t>
  </si>
  <si>
    <t>ƯỚC THỰC NĂM 2024</t>
  </si>
  <si>
    <t>ƯỚC THỰC HIỆN THU NGÂN SÁCH NHÀ NƯỚC NĂM 2024</t>
  </si>
  <si>
    <t>ƯỚC THỰC HIỆN CHI NGÂN SÁCH ĐỊA PHƯƠNG NĂM 2024</t>
  </si>
  <si>
    <t>ƯỚC THỰC HIỆN 2023</t>
  </si>
  <si>
    <t>Thu từ bán tài sản nhà nước, kể cả thu tiền sử dụng đất gắn với tài sản trên đất do các cơ quan, tổ chức, đơn vị thuộc địa phương quản lý</t>
  </si>
  <si>
    <t>THỰC HIỆN 2023</t>
  </si>
  <si>
    <t>Thu tiền cấp quyền khai thác khoáng sản, vùng trời, vùng biển</t>
  </si>
  <si>
    <t>Thu huy động đóng góp</t>
  </si>
  <si>
    <t>ƯỚC THỰC HIỆN NĂM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</si>
</sst>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
    <numFmt numFmtId="165" formatCode="#,##0.00%;\-#,##0%"/>
    <numFmt numFmtId="166" formatCode="#,##0%;\-#,##0%"/>
    <numFmt numFmtId="167" formatCode="_-* #,##0.00_-;\-* #,##0.00_-;_-* &quot;-&quot;??_-;_-@_-"/>
    <numFmt numFmtId="168" formatCode="_-* #,##0\ _₫_-;\-* #,##0\ _₫_-;_-* &quot;-&quot;??\ _₫_-;_-@_-"/>
  </numFmts>
  <fonts count="19">
    <font>
      <sz val="11"/>
      <color theme="1"/>
      <name val="Calibri"/>
    </font>
    <font>
      <b/>
      <sz val="14"/>
      <name val="Times New Roman"/>
      <family val="1"/>
    </font>
    <font>
      <sz val="14"/>
      <name val="Times New Roman"/>
      <family val="1"/>
    </font>
    <font>
      <b/>
      <u/>
      <sz val="14"/>
      <name val="Times New Roman"/>
      <family val="1"/>
    </font>
    <font>
      <i/>
      <sz val="14"/>
      <name val="Times New Roman"/>
      <family val="1"/>
    </font>
    <font>
      <b/>
      <sz val="14"/>
      <color theme="1"/>
      <name val="Times New Roman"/>
      <family val="1"/>
    </font>
    <font>
      <b/>
      <sz val="14"/>
      <name val="Times New Roman"/>
      <family val="1"/>
      <charset val="163"/>
    </font>
    <font>
      <sz val="14"/>
      <name val="Times New Roman"/>
      <family val="1"/>
      <charset val="163"/>
    </font>
    <font>
      <sz val="11"/>
      <color theme="1"/>
      <name val="Calibri"/>
      <family val="2"/>
    </font>
    <font>
      <sz val="14"/>
      <color theme="1"/>
      <name val="Times New Roman"/>
      <family val="1"/>
    </font>
    <font>
      <b/>
      <sz val="11"/>
      <color theme="1"/>
      <name val="Calibri"/>
      <family val="2"/>
    </font>
    <font>
      <sz val="11"/>
      <color indexed="8"/>
      <name val="Calibri"/>
      <family val="2"/>
    </font>
    <font>
      <sz val="14"/>
      <name val=".VnTime"/>
      <family val="2"/>
    </font>
    <font>
      <sz val="11"/>
      <color theme="1"/>
      <name val="Calibri"/>
      <family val="2"/>
    </font>
    <font>
      <sz val="9"/>
      <color indexed="81"/>
      <name val="Tahoma"/>
      <charset val="163"/>
    </font>
    <font>
      <b/>
      <sz val="9"/>
      <color indexed="81"/>
      <name val="Tahoma"/>
      <charset val="163"/>
    </font>
    <font>
      <sz val="11"/>
      <name val="Calibri"/>
      <family val="2"/>
    </font>
    <font>
      <sz val="9"/>
      <color indexed="81"/>
      <name val="Tahoma"/>
      <family val="2"/>
    </font>
    <font>
      <b/>
      <sz val="9"/>
      <color indexed="81"/>
      <name val="Tahoma"/>
      <family val="2"/>
    </font>
  </fonts>
  <fills count="5">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67" fontId="11" fillId="0" borderId="0" applyFont="0" applyFill="0" applyBorder="0" applyAlignment="0" applyProtection="0"/>
    <xf numFmtId="0" fontId="12" fillId="0" borderId="0"/>
    <xf numFmtId="43" fontId="13" fillId="0" borderId="0" applyFont="0" applyFill="0" applyBorder="0" applyAlignment="0" applyProtection="0"/>
  </cellStyleXfs>
  <cellXfs count="90">
    <xf numFmtId="0" fontId="0" fillId="0" borderId="0" xfId="0"/>
    <xf numFmtId="3" fontId="1" fillId="0" borderId="1" xfId="0" applyNumberFormat="1" applyFont="1" applyBorder="1" applyAlignment="1">
      <alignment vertical="center"/>
    </xf>
    <xf numFmtId="3" fontId="2" fillId="0" borderId="1" xfId="0" applyNumberFormat="1" applyFont="1" applyBorder="1" applyAlignment="1">
      <alignment vertical="center"/>
    </xf>
    <xf numFmtId="0" fontId="2" fillId="0" borderId="0" xfId="0" applyFont="1" applyAlignment="1">
      <alignment horizontal="center" vertical="top" wrapText="1"/>
    </xf>
    <xf numFmtId="0" fontId="2" fillId="0" borderId="0" xfId="0" applyFont="1"/>
    <xf numFmtId="0" fontId="4" fillId="0" borderId="0" xfId="0" applyFont="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164" fontId="1" fillId="2" borderId="1" xfId="0" applyNumberFormat="1" applyFont="1" applyFill="1" applyBorder="1" applyAlignment="1">
      <alignment horizontal="right" vertical="center" wrapText="1"/>
    </xf>
    <xf numFmtId="165" fontId="1" fillId="2" borderId="1" xfId="0" applyNumberFormat="1" applyFont="1" applyFill="1" applyBorder="1" applyAlignment="1">
      <alignment horizontal="righ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164" fontId="2" fillId="2" borderId="1" xfId="0" applyNumberFormat="1" applyFont="1" applyFill="1" applyBorder="1" applyAlignment="1">
      <alignment horizontal="right" vertical="center" wrapText="1"/>
    </xf>
    <xf numFmtId="165" fontId="2" fillId="2" borderId="1" xfId="0" applyNumberFormat="1" applyFont="1" applyFill="1" applyBorder="1" applyAlignment="1">
      <alignment horizontal="right" vertical="center" wrapText="1"/>
    </xf>
    <xf numFmtId="0" fontId="2" fillId="2" borderId="1" xfId="0" applyFont="1" applyFill="1" applyBorder="1" applyAlignment="1">
      <alignment horizontal="right" vertical="center" wrapText="1"/>
    </xf>
    <xf numFmtId="0" fontId="1" fillId="0" borderId="0" xfId="0" applyFont="1" applyAlignment="1">
      <alignment horizontal="right" vertical="top"/>
    </xf>
    <xf numFmtId="0" fontId="1" fillId="0" borderId="0" xfId="0" applyFont="1"/>
    <xf numFmtId="0" fontId="3" fillId="0" borderId="0" xfId="0" applyFont="1" applyAlignment="1">
      <alignment horizontal="center" vertical="top"/>
    </xf>
    <xf numFmtId="0" fontId="4" fillId="0" borderId="0" xfId="0" applyFont="1" applyAlignment="1">
      <alignment horizontal="right" vertical="center"/>
    </xf>
    <xf numFmtId="0" fontId="1" fillId="2" borderId="1" xfId="0" applyFont="1" applyFill="1" applyBorder="1" applyAlignment="1">
      <alignment horizontal="center" vertical="center" wrapText="1"/>
    </xf>
    <xf numFmtId="0" fontId="3" fillId="0" borderId="0" xfId="0" applyFont="1" applyAlignment="1">
      <alignment horizontal="center" vertical="top"/>
    </xf>
    <xf numFmtId="0" fontId="1" fillId="2" borderId="1" xfId="0" applyFont="1" applyFill="1" applyBorder="1" applyAlignment="1">
      <alignment horizontal="center" vertical="center" wrapText="1"/>
    </xf>
    <xf numFmtId="3" fontId="2" fillId="0" borderId="0" xfId="0" applyNumberFormat="1" applyFont="1" applyAlignment="1">
      <alignment vertical="center"/>
    </xf>
    <xf numFmtId="0" fontId="2" fillId="0" borderId="0" xfId="0" applyFont="1" applyAlignment="1">
      <alignment vertical="center"/>
    </xf>
    <xf numFmtId="0" fontId="1"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right" vertical="center"/>
    </xf>
    <xf numFmtId="164" fontId="5" fillId="2" borderId="1" xfId="0" applyNumberFormat="1" applyFont="1" applyFill="1" applyBorder="1" applyAlignment="1">
      <alignment horizontal="right" vertical="center" wrapText="1"/>
    </xf>
    <xf numFmtId="3" fontId="5" fillId="3" borderId="1" xfId="0" applyNumberFormat="1" applyFont="1" applyFill="1" applyBorder="1" applyAlignment="1">
      <alignment vertical="center" wrapText="1"/>
    </xf>
    <xf numFmtId="0" fontId="5" fillId="3" borderId="1" xfId="0" applyFont="1" applyFill="1" applyBorder="1" applyAlignment="1">
      <alignment horizontal="center" vertical="center" wrapText="1"/>
    </xf>
    <xf numFmtId="0" fontId="1" fillId="0" borderId="1" xfId="0" applyFont="1" applyFill="1" applyBorder="1" applyAlignment="1">
      <alignment vertical="center" wrapText="1"/>
    </xf>
    <xf numFmtId="0" fontId="2" fillId="0" borderId="0" xfId="0" applyFont="1" applyAlignment="1"/>
    <xf numFmtId="0" fontId="2" fillId="0" borderId="0" xfId="0" applyFont="1" applyAlignment="1">
      <alignment horizontal="center" vertical="top"/>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quotePrefix="1" applyFont="1" applyFill="1" applyBorder="1" applyAlignment="1">
      <alignment horizontal="center" vertical="center" wrapText="1"/>
    </xf>
    <xf numFmtId="0" fontId="7" fillId="2" borderId="1" xfId="0" applyFont="1" applyFill="1" applyBorder="1" applyAlignment="1">
      <alignment horizontal="left" vertical="center" wrapText="1"/>
    </xf>
    <xf numFmtId="3" fontId="1" fillId="2" borderId="1" xfId="0" applyNumberFormat="1" applyFont="1" applyFill="1" applyBorder="1" applyAlignment="1">
      <alignment horizontal="right" vertical="center" wrapText="1"/>
    </xf>
    <xf numFmtId="3" fontId="2" fillId="0" borderId="1" xfId="0" applyNumberFormat="1" applyFont="1" applyBorder="1" applyAlignment="1">
      <alignment vertical="center" wrapText="1"/>
    </xf>
    <xf numFmtId="0" fontId="1" fillId="2" borderId="1" xfId="0" applyFont="1" applyFill="1" applyBorder="1" applyAlignment="1">
      <alignment horizontal="center" vertical="center" wrapText="1"/>
    </xf>
    <xf numFmtId="3" fontId="2" fillId="2" borderId="1" xfId="0" applyNumberFormat="1" applyFont="1" applyFill="1" applyBorder="1" applyAlignment="1">
      <alignment horizontal="right" vertical="center" wrapText="1"/>
    </xf>
    <xf numFmtId="0" fontId="10" fillId="0" borderId="0" xfId="0" applyFont="1"/>
    <xf numFmtId="0" fontId="8" fillId="0" borderId="0" xfId="0" applyFont="1"/>
    <xf numFmtId="166" fontId="1" fillId="2" borderId="1" xfId="0" applyNumberFormat="1" applyFont="1" applyFill="1" applyBorder="1" applyAlignment="1">
      <alignment horizontal="right" vertical="center" wrapText="1"/>
    </xf>
    <xf numFmtId="0" fontId="2" fillId="4" borderId="0" xfId="0" applyFont="1" applyFill="1"/>
    <xf numFmtId="0" fontId="1" fillId="4" borderId="0" xfId="0" applyFont="1" applyFill="1" applyAlignment="1">
      <alignment horizontal="center" vertical="top" wrapText="1"/>
    </xf>
    <xf numFmtId="0" fontId="4" fillId="4" borderId="0" xfId="0" applyFont="1" applyFill="1" applyAlignment="1">
      <alignment vertical="center" wrapText="1"/>
    </xf>
    <xf numFmtId="164" fontId="1" fillId="3" borderId="1" xfId="0" applyNumberFormat="1" applyFont="1" applyFill="1" applyBorder="1" applyAlignment="1">
      <alignment horizontal="right" vertical="center" wrapText="1"/>
    </xf>
    <xf numFmtId="165" fontId="1" fillId="3" borderId="1" xfId="0" applyNumberFormat="1" applyFont="1" applyFill="1" applyBorder="1" applyAlignment="1">
      <alignment horizontal="right" vertical="center" wrapText="1"/>
    </xf>
    <xf numFmtId="168" fontId="0" fillId="0" borderId="0" xfId="3" applyNumberFormat="1" applyFont="1"/>
    <xf numFmtId="3" fontId="1" fillId="3" borderId="1" xfId="0" applyNumberFormat="1" applyFont="1" applyFill="1" applyBorder="1" applyAlignment="1">
      <alignment vertical="center"/>
    </xf>
    <xf numFmtId="3" fontId="2" fillId="3" borderId="1" xfId="0" applyNumberFormat="1" applyFont="1" applyFill="1" applyBorder="1" applyAlignment="1">
      <alignment vertical="center"/>
    </xf>
    <xf numFmtId="164" fontId="2" fillId="3" borderId="1" xfId="0" applyNumberFormat="1" applyFont="1" applyFill="1" applyBorder="1" applyAlignment="1">
      <alignment horizontal="righ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0" xfId="0" applyFont="1" applyFill="1"/>
    <xf numFmtId="0" fontId="1" fillId="2" borderId="1" xfId="0" applyFont="1" applyFill="1" applyBorder="1" applyAlignment="1">
      <alignment horizontal="center" vertical="center" wrapText="1"/>
    </xf>
    <xf numFmtId="164" fontId="2" fillId="0" borderId="0" xfId="0" applyNumberFormat="1" applyFont="1"/>
    <xf numFmtId="164" fontId="1" fillId="2" borderId="1" xfId="0" applyNumberFormat="1" applyFont="1" applyFill="1" applyBorder="1" applyAlignment="1">
      <alignment horizontal="right" vertical="center" wrapText="1"/>
    </xf>
    <xf numFmtId="164" fontId="2" fillId="2" borderId="1" xfId="0" applyNumberFormat="1" applyFont="1" applyFill="1" applyBorder="1" applyAlignment="1">
      <alignment horizontal="right" vertical="center" wrapText="1"/>
    </xf>
    <xf numFmtId="164" fontId="6" fillId="2" borderId="1" xfId="0" applyNumberFormat="1" applyFont="1" applyFill="1" applyBorder="1" applyAlignment="1">
      <alignment horizontal="right" vertical="center" wrapText="1"/>
    </xf>
    <xf numFmtId="0" fontId="9" fillId="0" borderId="0" xfId="0" applyFont="1"/>
    <xf numFmtId="0" fontId="2" fillId="4" borderId="4" xfId="0" applyFont="1" applyFill="1" applyBorder="1" applyAlignment="1">
      <alignment horizontal="center" vertical="center" wrapText="1"/>
    </xf>
    <xf numFmtId="0" fontId="1" fillId="3" borderId="0" xfId="0" applyFont="1" applyFill="1" applyAlignment="1">
      <alignment horizontal="right" vertical="top"/>
    </xf>
    <xf numFmtId="0" fontId="2" fillId="3" borderId="0" xfId="0" applyFont="1" applyFill="1" applyAlignment="1"/>
    <xf numFmtId="0" fontId="2" fillId="3" borderId="0" xfId="0" applyFont="1" applyFill="1"/>
    <xf numFmtId="0" fontId="2" fillId="3" borderId="1" xfId="0" applyFont="1" applyFill="1" applyBorder="1" applyAlignment="1">
      <alignment horizontal="center" vertical="center" wrapText="1"/>
    </xf>
    <xf numFmtId="3" fontId="1" fillId="3" borderId="1" xfId="0" applyNumberFormat="1" applyFont="1" applyFill="1" applyBorder="1" applyAlignment="1">
      <alignment horizontal="right" vertical="center" wrapText="1"/>
    </xf>
    <xf numFmtId="3" fontId="2" fillId="3" borderId="1" xfId="0" applyNumberFormat="1" applyFont="1" applyFill="1" applyBorder="1" applyAlignment="1">
      <alignment horizontal="right" vertical="center" wrapText="1"/>
    </xf>
    <xf numFmtId="0" fontId="16" fillId="3" borderId="0" xfId="0" applyFont="1" applyFill="1"/>
    <xf numFmtId="3" fontId="0" fillId="0" borderId="0" xfId="0" applyNumberFormat="1"/>
    <xf numFmtId="168" fontId="0" fillId="0" borderId="0" xfId="0" applyNumberFormat="1"/>
    <xf numFmtId="165" fontId="2" fillId="3" borderId="1" xfId="0" applyNumberFormat="1" applyFont="1" applyFill="1" applyBorder="1" applyAlignment="1">
      <alignment horizontal="right" vertical="center" wrapText="1"/>
    </xf>
    <xf numFmtId="0" fontId="1" fillId="2" borderId="1" xfId="0"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3" fontId="1" fillId="3" borderId="0" xfId="0" applyNumberFormat="1" applyFont="1" applyFill="1"/>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0" borderId="0" xfId="0" applyFont="1" applyAlignment="1">
      <alignment horizontal="center" vertical="top"/>
    </xf>
    <xf numFmtId="0" fontId="3" fillId="0" borderId="0" xfId="0" applyFont="1" applyAlignment="1">
      <alignment horizontal="center" vertical="top"/>
    </xf>
    <xf numFmtId="0" fontId="1" fillId="2" borderId="1" xfId="0" applyFont="1" applyFill="1" applyBorder="1" applyAlignment="1">
      <alignment horizontal="center" vertical="center" wrapText="1"/>
    </xf>
    <xf numFmtId="0" fontId="1" fillId="0" borderId="0" xfId="0" applyFont="1" applyAlignment="1">
      <alignment horizontal="center" vertical="top" wrapText="1"/>
    </xf>
    <xf numFmtId="0" fontId="5" fillId="0" borderId="2" xfId="0" applyFont="1" applyBorder="1" applyAlignment="1">
      <alignment horizontal="center" vertical="center" wrapText="1"/>
    </xf>
    <xf numFmtId="0" fontId="1" fillId="3"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wrapText="1"/>
    </xf>
    <xf numFmtId="0" fontId="16" fillId="0" borderId="0" xfId="0" applyFont="1"/>
  </cellXfs>
  <cellStyles count="4">
    <cellStyle name="Comma" xfId="3" builtinId="3"/>
    <cellStyle name="Comma 2" xfId="1"/>
    <cellStyle name="Normal" xfId="0" builtinId="0"/>
    <cellStyle name="Normal 10"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Google%20Drive/Ng&#7885;c%20Tr&#226;m/N&#259;m%202023/&#272;&#7873;%20xu&#7845;t/C&#244;ng%20khai%20t&#224;i%20ch&#237;nh/Qu&#253;%20III/CK59,%2060,%2061%202023%20&#273;&#259;ng%20web%20qu&#253;%20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9"/>
      <sheetName val="60"/>
      <sheetName val="61"/>
    </sheetNames>
    <sheetDataSet>
      <sheetData sheetId="0" refreshError="1"/>
      <sheetData sheetId="1">
        <row r="10">
          <cell r="D10">
            <v>2735934</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workbookViewId="0">
      <selection activeCell="H26" sqref="H26"/>
    </sheetView>
  </sheetViews>
  <sheetFormatPr defaultColWidth="9.140625" defaultRowHeight="18.75"/>
  <cols>
    <col min="1" max="1" width="7.28515625" style="4" customWidth="1"/>
    <col min="2" max="2" width="32.85546875" style="4" customWidth="1"/>
    <col min="3" max="6" width="14" style="4" customWidth="1"/>
    <col min="7" max="7" width="14" style="45" hidden="1" customWidth="1"/>
    <col min="8" max="8" width="29.5703125" style="4" customWidth="1"/>
    <col min="9" max="10" width="6.85546875" style="4" customWidth="1"/>
    <col min="11" max="16384" width="9.140625" style="4"/>
  </cols>
  <sheetData>
    <row r="1" spans="1:8">
      <c r="A1" s="79" t="s">
        <v>0</v>
      </c>
      <c r="B1" s="79"/>
      <c r="F1" s="15" t="s">
        <v>1</v>
      </c>
    </row>
    <row r="2" spans="1:8">
      <c r="A2" s="80" t="s">
        <v>36</v>
      </c>
      <c r="B2" s="80"/>
    </row>
    <row r="3" spans="1:8">
      <c r="A3" s="17"/>
      <c r="B3" s="17"/>
    </row>
    <row r="4" spans="1:8">
      <c r="A4" s="82" t="s">
        <v>112</v>
      </c>
      <c r="B4" s="82"/>
      <c r="C4" s="82"/>
      <c r="D4" s="82"/>
      <c r="E4" s="82"/>
      <c r="F4" s="82"/>
      <c r="G4" s="46"/>
    </row>
    <row r="5" spans="1:8" ht="18.75" customHeight="1">
      <c r="B5" s="5"/>
      <c r="C5" s="5"/>
      <c r="D5" s="5"/>
      <c r="E5" s="5"/>
      <c r="F5" s="5"/>
      <c r="G5" s="47"/>
    </row>
    <row r="6" spans="1:8">
      <c r="A6" s="3" t="s">
        <v>2</v>
      </c>
      <c r="F6" s="18" t="s">
        <v>37</v>
      </c>
    </row>
    <row r="7" spans="1:8" ht="42.75" customHeight="1">
      <c r="A7" s="81" t="s">
        <v>4</v>
      </c>
      <c r="B7" s="81" t="s">
        <v>5</v>
      </c>
      <c r="C7" s="81" t="s">
        <v>113</v>
      </c>
      <c r="D7" s="81" t="s">
        <v>114</v>
      </c>
      <c r="E7" s="81" t="s">
        <v>3</v>
      </c>
      <c r="F7" s="81"/>
      <c r="G7" s="77" t="s">
        <v>117</v>
      </c>
    </row>
    <row r="8" spans="1:8" ht="56.25">
      <c r="A8" s="81"/>
      <c r="B8" s="81"/>
      <c r="C8" s="81"/>
      <c r="D8" s="81"/>
      <c r="E8" s="6" t="s">
        <v>6</v>
      </c>
      <c r="F8" s="6" t="s">
        <v>7</v>
      </c>
      <c r="G8" s="78"/>
    </row>
    <row r="9" spans="1:8">
      <c r="A9" s="10" t="s">
        <v>8</v>
      </c>
      <c r="B9" s="10" t="s">
        <v>21</v>
      </c>
      <c r="C9" s="10">
        <v>1</v>
      </c>
      <c r="D9" s="10">
        <v>2</v>
      </c>
      <c r="E9" s="10" t="s">
        <v>109</v>
      </c>
      <c r="F9" s="10">
        <v>4</v>
      </c>
      <c r="G9" s="63"/>
    </row>
    <row r="10" spans="1:8" s="16" customFormat="1" ht="37.5">
      <c r="A10" s="6" t="s">
        <v>8</v>
      </c>
      <c r="B10" s="7" t="s">
        <v>9</v>
      </c>
      <c r="C10" s="8">
        <v>4000000</v>
      </c>
      <c r="D10" s="8">
        <f>+D11+D17</f>
        <v>8808160</v>
      </c>
      <c r="E10" s="9">
        <f>D10/C10</f>
        <v>2.2020400000000002</v>
      </c>
      <c r="F10" s="9">
        <f>D10/G10</f>
        <v>2.4672717086834735</v>
      </c>
      <c r="G10" s="59">
        <v>3570000</v>
      </c>
    </row>
    <row r="11" spans="1:8" s="16" customFormat="1">
      <c r="A11" s="6" t="s">
        <v>10</v>
      </c>
      <c r="B11" s="7" t="s">
        <v>11</v>
      </c>
      <c r="C11" s="8">
        <v>4000000</v>
      </c>
      <c r="D11" s="8">
        <f>SUM(D12:D16)</f>
        <v>4248685</v>
      </c>
      <c r="E11" s="9">
        <f>D11/C11</f>
        <v>1.06217125</v>
      </c>
      <c r="F11" s="9">
        <f>D11/G11</f>
        <v>1.1901078431372549</v>
      </c>
      <c r="G11" s="59">
        <v>3570000</v>
      </c>
    </row>
    <row r="12" spans="1:8">
      <c r="A12" s="10" t="s">
        <v>12</v>
      </c>
      <c r="B12" s="11" t="s">
        <v>13</v>
      </c>
      <c r="C12" s="12">
        <v>3947000</v>
      </c>
      <c r="D12" s="12">
        <f>+'60'!D11</f>
        <v>4164691</v>
      </c>
      <c r="E12" s="13">
        <f>D12/C12</f>
        <v>1.0551535343298708</v>
      </c>
      <c r="F12" s="13">
        <f>D12/G12</f>
        <v>1.1831508522727272</v>
      </c>
      <c r="G12" s="60">
        <v>3520000</v>
      </c>
    </row>
    <row r="13" spans="1:8">
      <c r="A13" s="10" t="s">
        <v>14</v>
      </c>
      <c r="B13" s="11" t="s">
        <v>15</v>
      </c>
      <c r="C13" s="14"/>
      <c r="D13" s="14"/>
      <c r="E13" s="13"/>
      <c r="F13" s="13"/>
      <c r="G13" s="14"/>
    </row>
    <row r="14" spans="1:8" ht="37.5">
      <c r="A14" s="10" t="s">
        <v>16</v>
      </c>
      <c r="B14" s="11" t="s">
        <v>102</v>
      </c>
      <c r="C14" s="12">
        <v>53000</v>
      </c>
      <c r="D14" s="12">
        <f>+'60'!D32</f>
        <v>51000</v>
      </c>
      <c r="E14" s="13">
        <f>D14/C14</f>
        <v>0.96226415094339623</v>
      </c>
      <c r="F14" s="13">
        <f>D14/G14</f>
        <v>1.02</v>
      </c>
      <c r="G14" s="60">
        <v>50000</v>
      </c>
      <c r="H14" s="58"/>
    </row>
    <row r="15" spans="1:8">
      <c r="A15" s="10" t="s">
        <v>17</v>
      </c>
      <c r="B15" s="11" t="s">
        <v>18</v>
      </c>
      <c r="C15" s="12"/>
      <c r="D15" s="12">
        <f>+'60'!D39</f>
        <v>21236</v>
      </c>
      <c r="E15" s="13"/>
      <c r="F15" s="13"/>
      <c r="G15" s="60"/>
    </row>
    <row r="16" spans="1:8">
      <c r="A16" s="10">
        <v>5</v>
      </c>
      <c r="B16" s="11" t="s">
        <v>121</v>
      </c>
      <c r="C16" s="60">
        <f>+'60'!C40</f>
        <v>20000</v>
      </c>
      <c r="D16" s="60">
        <f>+'60'!D40</f>
        <v>11758</v>
      </c>
      <c r="E16" s="13">
        <f>D16/C16</f>
        <v>0.58789999999999998</v>
      </c>
      <c r="F16" s="13"/>
      <c r="G16" s="60"/>
    </row>
    <row r="17" spans="1:11" s="56" customFormat="1" ht="37.5">
      <c r="A17" s="54" t="s">
        <v>19</v>
      </c>
      <c r="B17" s="55" t="s">
        <v>20</v>
      </c>
      <c r="C17" s="48"/>
      <c r="D17" s="48">
        <v>4559475</v>
      </c>
      <c r="E17" s="49"/>
      <c r="F17" s="9">
        <f>D17/G17</f>
        <v>1.0588780777477858</v>
      </c>
      <c r="G17" s="59">
        <v>4305949</v>
      </c>
      <c r="K17" s="76"/>
    </row>
    <row r="18" spans="1:11" s="16" customFormat="1">
      <c r="A18" s="6" t="s">
        <v>21</v>
      </c>
      <c r="B18" s="7" t="s">
        <v>22</v>
      </c>
      <c r="C18" s="8">
        <v>8048242</v>
      </c>
      <c r="D18" s="8">
        <f>+D19+D26</f>
        <v>7984593</v>
      </c>
      <c r="E18" s="9">
        <f t="shared" ref="E18:E27" si="0">D18/C18</f>
        <v>0.99209156484111682</v>
      </c>
      <c r="F18" s="9">
        <f>D18/G18</f>
        <v>1.057393078054415</v>
      </c>
      <c r="G18" s="59">
        <v>7551206.0422142288</v>
      </c>
    </row>
    <row r="19" spans="1:11" s="16" customFormat="1">
      <c r="A19" s="6" t="s">
        <v>23</v>
      </c>
      <c r="B19" s="7" t="s">
        <v>24</v>
      </c>
      <c r="C19" s="1">
        <v>5855557</v>
      </c>
      <c r="D19" s="1">
        <f>SUM(D20:D25)</f>
        <v>5878577</v>
      </c>
      <c r="E19" s="9">
        <f t="shared" si="0"/>
        <v>1.0039313083281403</v>
      </c>
      <c r="F19" s="9">
        <f>D19/G19</f>
        <v>1.1559277661283092</v>
      </c>
      <c r="G19" s="1">
        <v>5085592</v>
      </c>
    </row>
    <row r="20" spans="1:11">
      <c r="A20" s="10" t="s">
        <v>12</v>
      </c>
      <c r="B20" s="11" t="s">
        <v>25</v>
      </c>
      <c r="C20" s="2">
        <v>1382080</v>
      </c>
      <c r="D20" s="53">
        <f>+'61'!D12</f>
        <v>1424602</v>
      </c>
      <c r="E20" s="13">
        <f t="shared" si="0"/>
        <v>1.0307666705255847</v>
      </c>
      <c r="F20" s="13">
        <f>D20/G20</f>
        <v>1.4941298378757082</v>
      </c>
      <c r="G20" s="60">
        <v>953466</v>
      </c>
    </row>
    <row r="21" spans="1:11">
      <c r="A21" s="10" t="s">
        <v>14</v>
      </c>
      <c r="B21" s="11" t="s">
        <v>26</v>
      </c>
      <c r="C21" s="2">
        <v>4351215</v>
      </c>
      <c r="D21" s="12">
        <f>+'61'!D16</f>
        <v>4211143</v>
      </c>
      <c r="E21" s="13">
        <f t="shared" si="0"/>
        <v>0.96780853164001324</v>
      </c>
      <c r="F21" s="13">
        <f>D21/G21</f>
        <v>1.0597794998644807</v>
      </c>
      <c r="G21" s="60">
        <v>3973603</v>
      </c>
    </row>
    <row r="22" spans="1:11" ht="37.5">
      <c r="A22" s="10" t="s">
        <v>16</v>
      </c>
      <c r="B22" s="11" t="s">
        <v>27</v>
      </c>
      <c r="C22" s="2">
        <v>8100</v>
      </c>
      <c r="D22" s="12">
        <f>+'61'!D28</f>
        <v>12619</v>
      </c>
      <c r="E22" s="13">
        <f t="shared" si="0"/>
        <v>1.5579012345679013</v>
      </c>
      <c r="F22" s="13">
        <f t="shared" ref="F22:F23" si="1">D22/G22</f>
        <v>2.5380128720836685</v>
      </c>
      <c r="G22" s="60">
        <v>4972</v>
      </c>
    </row>
    <row r="23" spans="1:11" ht="37.5">
      <c r="A23" s="10" t="s">
        <v>17</v>
      </c>
      <c r="B23" s="11" t="s">
        <v>28</v>
      </c>
      <c r="C23" s="2">
        <v>1000</v>
      </c>
      <c r="D23" s="60">
        <f>+'61'!D29</f>
        <v>11000</v>
      </c>
      <c r="E23" s="13">
        <f t="shared" si="0"/>
        <v>11</v>
      </c>
      <c r="F23" s="13">
        <f t="shared" si="1"/>
        <v>7.1637436421775169E-2</v>
      </c>
      <c r="G23" s="2">
        <v>153551</v>
      </c>
    </row>
    <row r="24" spans="1:11">
      <c r="A24" s="10" t="s">
        <v>29</v>
      </c>
      <c r="B24" s="11" t="s">
        <v>30</v>
      </c>
      <c r="C24" s="2">
        <v>113162</v>
      </c>
      <c r="D24" s="12">
        <f>+'61'!D30</f>
        <v>0</v>
      </c>
      <c r="E24" s="13">
        <f t="shared" si="0"/>
        <v>0</v>
      </c>
      <c r="F24" s="13"/>
      <c r="G24" s="60"/>
    </row>
    <row r="25" spans="1:11" ht="37.5">
      <c r="A25" s="10">
        <v>6</v>
      </c>
      <c r="B25" s="11" t="s">
        <v>38</v>
      </c>
      <c r="C25" s="2"/>
      <c r="D25" s="12">
        <f>+'61'!D31</f>
        <v>219213</v>
      </c>
      <c r="E25" s="13"/>
      <c r="F25" s="13"/>
      <c r="G25" s="60"/>
    </row>
    <row r="26" spans="1:11" s="16" customFormat="1" ht="56.25">
      <c r="A26" s="6" t="s">
        <v>19</v>
      </c>
      <c r="B26" s="7" t="s">
        <v>31</v>
      </c>
      <c r="C26" s="1">
        <v>2192685</v>
      </c>
      <c r="D26" s="8">
        <f>+'61'!D32</f>
        <v>2106016</v>
      </c>
      <c r="E26" s="9">
        <f t="shared" si="0"/>
        <v>0.96047357463566363</v>
      </c>
      <c r="F26" s="9">
        <f>D26/G26</f>
        <v>0.85415477197262635</v>
      </c>
      <c r="G26" s="59">
        <v>2465614.0422142288</v>
      </c>
    </row>
    <row r="27" spans="1:11" s="16" customFormat="1" ht="37.5">
      <c r="A27" s="6" t="s">
        <v>32</v>
      </c>
      <c r="B27" s="7" t="s">
        <v>33</v>
      </c>
      <c r="C27" s="8">
        <v>197500</v>
      </c>
      <c r="D27" s="8"/>
      <c r="E27" s="9">
        <f t="shared" si="0"/>
        <v>0</v>
      </c>
      <c r="F27" s="9"/>
      <c r="G27" s="59"/>
    </row>
    <row r="28" spans="1:11" s="16" customFormat="1">
      <c r="A28" s="6" t="s">
        <v>34</v>
      </c>
      <c r="B28" s="7" t="s">
        <v>35</v>
      </c>
      <c r="C28" s="8">
        <v>33768</v>
      </c>
      <c r="D28" s="8">
        <v>34399</v>
      </c>
      <c r="E28" s="9">
        <f t="shared" ref="E28" si="2">D28/C28</f>
        <v>1.0186863302534945</v>
      </c>
      <c r="F28" s="9">
        <v>1.025420896418948</v>
      </c>
      <c r="G28" s="59">
        <v>22117</v>
      </c>
    </row>
  </sheetData>
  <mergeCells count="9">
    <mergeCell ref="G7:G8"/>
    <mergeCell ref="A1:B1"/>
    <mergeCell ref="A2:B2"/>
    <mergeCell ref="E7:F7"/>
    <mergeCell ref="A7:A8"/>
    <mergeCell ref="B7:B8"/>
    <mergeCell ref="C7:C8"/>
    <mergeCell ref="D7:D8"/>
    <mergeCell ref="A4:F4"/>
  </mergeCells>
  <printOptions horizontalCentered="1"/>
  <pageMargins left="0.11811023622047245" right="0.11811023622047245" top="0.78740157480314965"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3"/>
  <sheetViews>
    <sheetView topLeftCell="A13" zoomScaleNormal="100" workbookViewId="0">
      <selection activeCell="D5" sqref="D1:D1048576"/>
    </sheetView>
  </sheetViews>
  <sheetFormatPr defaultRowHeight="15"/>
  <cols>
    <col min="2" max="2" width="32" customWidth="1"/>
    <col min="3" max="3" width="13.28515625" style="89" customWidth="1"/>
    <col min="4" max="4" width="13.28515625" style="70" customWidth="1"/>
    <col min="5" max="5" width="12.42578125" customWidth="1"/>
    <col min="6" max="6" width="16.140625" customWidth="1"/>
    <col min="7" max="7" width="17" hidden="1" customWidth="1"/>
    <col min="8" max="8" width="15" hidden="1" customWidth="1"/>
    <col min="9" max="11" width="9.140625" hidden="1" customWidth="1"/>
    <col min="12" max="12" width="0" hidden="1" customWidth="1"/>
  </cols>
  <sheetData>
    <row r="1" spans="1:12" ht="18.75">
      <c r="A1" s="79" t="s">
        <v>0</v>
      </c>
      <c r="B1" s="79"/>
      <c r="C1" s="32"/>
      <c r="D1" s="64"/>
      <c r="E1" s="32"/>
      <c r="F1" s="15" t="s">
        <v>69</v>
      </c>
    </row>
    <row r="2" spans="1:12" ht="18.75">
      <c r="A2" s="80" t="s">
        <v>36</v>
      </c>
      <c r="B2" s="80"/>
      <c r="C2" s="32"/>
      <c r="D2" s="65"/>
      <c r="E2" s="32"/>
      <c r="F2" s="32"/>
    </row>
    <row r="3" spans="1:12" ht="18.75">
      <c r="A3" s="20"/>
      <c r="B3" s="20"/>
      <c r="C3" s="32"/>
      <c r="D3" s="65"/>
      <c r="E3" s="32"/>
      <c r="F3" s="32"/>
    </row>
    <row r="4" spans="1:12" ht="18.75">
      <c r="A4" s="79" t="s">
        <v>115</v>
      </c>
      <c r="B4" s="79"/>
      <c r="C4" s="79"/>
      <c r="D4" s="79"/>
      <c r="E4" s="79"/>
      <c r="F4" s="79"/>
    </row>
    <row r="5" spans="1:12" ht="18.75">
      <c r="A5" s="33" t="s">
        <v>2</v>
      </c>
      <c r="B5" s="32"/>
      <c r="C5" s="32"/>
      <c r="D5" s="65"/>
      <c r="E5" s="32"/>
      <c r="F5" s="32"/>
    </row>
    <row r="6" spans="1:12" ht="18.75">
      <c r="A6" s="3" t="s">
        <v>2</v>
      </c>
      <c r="B6" s="4"/>
      <c r="C6" s="4"/>
      <c r="D6" s="66"/>
      <c r="E6" s="4"/>
      <c r="F6" s="18" t="s">
        <v>37</v>
      </c>
    </row>
    <row r="7" spans="1:12" s="62" customFormat="1" ht="49.5" customHeight="1">
      <c r="A7" s="81" t="s">
        <v>4</v>
      </c>
      <c r="B7" s="81" t="s">
        <v>5</v>
      </c>
      <c r="C7" s="81" t="s">
        <v>113</v>
      </c>
      <c r="D7" s="84" t="s">
        <v>114</v>
      </c>
      <c r="E7" s="81" t="s">
        <v>3</v>
      </c>
      <c r="F7" s="81"/>
      <c r="G7" s="83"/>
    </row>
    <row r="8" spans="1:12" s="62" customFormat="1" ht="56.25">
      <c r="A8" s="81"/>
      <c r="B8" s="81"/>
      <c r="C8" s="81"/>
      <c r="D8" s="84"/>
      <c r="E8" s="57" t="s">
        <v>6</v>
      </c>
      <c r="F8" s="57" t="s">
        <v>7</v>
      </c>
      <c r="G8" s="83"/>
    </row>
    <row r="9" spans="1:12" s="4" customFormat="1" ht="18.75">
      <c r="A9" s="10" t="s">
        <v>8</v>
      </c>
      <c r="B9" s="10" t="s">
        <v>21</v>
      </c>
      <c r="C9" s="10">
        <v>1</v>
      </c>
      <c r="D9" s="67">
        <v>2</v>
      </c>
      <c r="E9" s="10" t="s">
        <v>109</v>
      </c>
      <c r="F9" s="10">
        <v>4</v>
      </c>
      <c r="G9" s="63"/>
    </row>
    <row r="10" spans="1:12" ht="37.5">
      <c r="A10" s="21" t="s">
        <v>8</v>
      </c>
      <c r="B10" s="7" t="s">
        <v>70</v>
      </c>
      <c r="C10" s="38">
        <f>+C11+C31+C32+C39+C40</f>
        <v>4000000</v>
      </c>
      <c r="D10" s="38">
        <f>+D11+D31+D32+D39+D40</f>
        <v>4248685</v>
      </c>
      <c r="E10" s="9">
        <f t="shared" ref="E10:E11" si="0">D10/C10</f>
        <v>1.06217125</v>
      </c>
      <c r="F10" s="9">
        <f t="shared" ref="F10:F15" si="1">D10/G10</f>
        <v>1.196812676056338</v>
      </c>
      <c r="G10" s="68">
        <v>3550000</v>
      </c>
      <c r="H10">
        <f>+D11/'[1]60'!$D$10</f>
        <v>1.5222191032386014</v>
      </c>
    </row>
    <row r="11" spans="1:12" ht="18.75">
      <c r="A11" s="21" t="s">
        <v>10</v>
      </c>
      <c r="B11" s="7" t="s">
        <v>13</v>
      </c>
      <c r="C11" s="38">
        <f>SUM(C12:C19,C26:C30)</f>
        <v>3927000</v>
      </c>
      <c r="D11" s="68">
        <f>SUM(D12:D19,D26:D30)</f>
        <v>4164691</v>
      </c>
      <c r="E11" s="9">
        <f t="shared" si="0"/>
        <v>1.0605273745861981</v>
      </c>
      <c r="F11" s="9">
        <f t="shared" si="1"/>
        <v>1.1899117142857143</v>
      </c>
      <c r="G11" s="68">
        <v>3500000</v>
      </c>
      <c r="L11" s="71">
        <f>4176449-D11</f>
        <v>11758</v>
      </c>
    </row>
    <row r="12" spans="1:12" ht="18.75">
      <c r="A12" s="10" t="s">
        <v>12</v>
      </c>
      <c r="B12" s="11" t="s">
        <v>71</v>
      </c>
      <c r="C12" s="41">
        <f>571000+43000</f>
        <v>614000</v>
      </c>
      <c r="D12" s="69">
        <f>695750+43000</f>
        <v>738750</v>
      </c>
      <c r="E12" s="13">
        <f>D12/C12</f>
        <v>1.2031758957654723</v>
      </c>
      <c r="F12" s="13">
        <f>D12/G12</f>
        <v>1.0478723404255319</v>
      </c>
      <c r="G12" s="60">
        <v>705000</v>
      </c>
      <c r="H12">
        <f>520+38+270</f>
        <v>828</v>
      </c>
    </row>
    <row r="13" spans="1:12" ht="56.25">
      <c r="A13" s="10" t="s">
        <v>14</v>
      </c>
      <c r="B13" s="11" t="s">
        <v>72</v>
      </c>
      <c r="C13" s="41">
        <v>340000</v>
      </c>
      <c r="D13" s="69">
        <v>320000</v>
      </c>
      <c r="E13" s="13">
        <f>D13/C13</f>
        <v>0.94117647058823528</v>
      </c>
      <c r="F13" s="13">
        <f>D13/G13</f>
        <v>0.96969696969696972</v>
      </c>
      <c r="G13" s="60">
        <v>330000</v>
      </c>
    </row>
    <row r="14" spans="1:12" ht="37.5">
      <c r="A14" s="10" t="s">
        <v>16</v>
      </c>
      <c r="B14" s="11" t="s">
        <v>73</v>
      </c>
      <c r="C14" s="41">
        <v>1236000</v>
      </c>
      <c r="D14" s="69">
        <v>1222122</v>
      </c>
      <c r="E14" s="13">
        <f t="shared" ref="E14:E43" si="2">D14/C14</f>
        <v>0.98877184466019419</v>
      </c>
      <c r="F14" s="13">
        <f t="shared" si="1"/>
        <v>0.96139238514789171</v>
      </c>
      <c r="G14" s="60">
        <v>1271200</v>
      </c>
    </row>
    <row r="15" spans="1:12" ht="18.75">
      <c r="A15" s="10" t="s">
        <v>17</v>
      </c>
      <c r="B15" s="11" t="s">
        <v>74</v>
      </c>
      <c r="C15" s="41">
        <v>185000</v>
      </c>
      <c r="D15" s="69">
        <v>215000</v>
      </c>
      <c r="E15" s="13">
        <f t="shared" si="2"/>
        <v>1.1621621621621621</v>
      </c>
      <c r="F15" s="13">
        <f t="shared" si="1"/>
        <v>1.1944444444444444</v>
      </c>
      <c r="G15" s="60">
        <v>180000</v>
      </c>
    </row>
    <row r="16" spans="1:12" ht="18.75">
      <c r="A16" s="10" t="s">
        <v>29</v>
      </c>
      <c r="B16" s="11" t="s">
        <v>75</v>
      </c>
      <c r="C16" s="41">
        <v>218000</v>
      </c>
      <c r="D16" s="69">
        <v>245000</v>
      </c>
      <c r="E16" s="13">
        <f t="shared" si="2"/>
        <v>1.1238532110091743</v>
      </c>
      <c r="F16" s="13">
        <f t="shared" ref="F16:F19" si="3">D16/G16</f>
        <v>1.0652173913043479</v>
      </c>
      <c r="G16" s="60">
        <v>230000</v>
      </c>
    </row>
    <row r="17" spans="1:7" ht="18.75">
      <c r="A17" s="10" t="s">
        <v>51</v>
      </c>
      <c r="B17" s="11" t="s">
        <v>76</v>
      </c>
      <c r="C17" s="41">
        <v>140000</v>
      </c>
      <c r="D17" s="69">
        <v>105791</v>
      </c>
      <c r="E17" s="13">
        <f t="shared" si="2"/>
        <v>0.75565000000000004</v>
      </c>
      <c r="F17" s="13">
        <f t="shared" si="3"/>
        <v>0.9203619122188873</v>
      </c>
      <c r="G17" s="60">
        <v>114945</v>
      </c>
    </row>
    <row r="18" spans="1:7" ht="18.75">
      <c r="A18" s="10" t="s">
        <v>53</v>
      </c>
      <c r="B18" s="11" t="s">
        <v>77</v>
      </c>
      <c r="C18" s="41">
        <v>58000</v>
      </c>
      <c r="D18" s="69">
        <v>55000</v>
      </c>
      <c r="E18" s="13">
        <f t="shared" si="2"/>
        <v>0.94827586206896552</v>
      </c>
      <c r="F18" s="13">
        <f t="shared" si="3"/>
        <v>0.99900099900099903</v>
      </c>
      <c r="G18" s="60">
        <v>55055</v>
      </c>
    </row>
    <row r="19" spans="1:7" ht="18.75">
      <c r="A19" s="10" t="s">
        <v>55</v>
      </c>
      <c r="B19" s="11" t="s">
        <v>78</v>
      </c>
      <c r="C19" s="41">
        <f>SUM(C20:C25)</f>
        <v>881527</v>
      </c>
      <c r="D19" s="69">
        <f>SUM(D20:D25)</f>
        <v>904077</v>
      </c>
      <c r="E19" s="13">
        <f t="shared" si="2"/>
        <v>1.0255806118247086</v>
      </c>
      <c r="F19" s="13">
        <f t="shared" si="3"/>
        <v>2.660458478017774</v>
      </c>
      <c r="G19" s="69">
        <v>339820</v>
      </c>
    </row>
    <row r="20" spans="1:7" ht="37.5">
      <c r="A20" s="10" t="s">
        <v>79</v>
      </c>
      <c r="B20" s="11" t="s">
        <v>80</v>
      </c>
      <c r="C20" s="41"/>
      <c r="D20" s="69"/>
      <c r="E20" s="13"/>
      <c r="F20" s="73"/>
      <c r="G20" s="53">
        <v>5</v>
      </c>
    </row>
    <row r="21" spans="1:7" ht="37.5">
      <c r="A21" s="10" t="s">
        <v>79</v>
      </c>
      <c r="B21" s="11" t="s">
        <v>81</v>
      </c>
      <c r="C21" s="41">
        <v>4000</v>
      </c>
      <c r="D21" s="69">
        <v>6018</v>
      </c>
      <c r="E21" s="13">
        <f t="shared" si="2"/>
        <v>1.5044999999999999</v>
      </c>
      <c r="F21" s="73">
        <f t="shared" ref="F21:F27" si="4">D21/G21</f>
        <v>1.2826086956521738</v>
      </c>
      <c r="G21" s="53">
        <v>4692</v>
      </c>
    </row>
    <row r="22" spans="1:7" ht="18.75">
      <c r="A22" s="10" t="s">
        <v>79</v>
      </c>
      <c r="B22" s="11" t="s">
        <v>82</v>
      </c>
      <c r="C22" s="41">
        <v>800000</v>
      </c>
      <c r="D22" s="69">
        <v>800000</v>
      </c>
      <c r="E22" s="13">
        <f t="shared" si="2"/>
        <v>1</v>
      </c>
      <c r="F22" s="13">
        <f t="shared" si="4"/>
        <v>2.7727713849993068</v>
      </c>
      <c r="G22" s="60">
        <v>288520</v>
      </c>
    </row>
    <row r="23" spans="1:7" ht="37.5">
      <c r="A23" s="10" t="s">
        <v>79</v>
      </c>
      <c r="B23" s="11" t="s">
        <v>83</v>
      </c>
      <c r="C23" s="41">
        <v>35000</v>
      </c>
      <c r="D23" s="69">
        <v>55532</v>
      </c>
      <c r="E23" s="13">
        <f t="shared" si="2"/>
        <v>1.5866285714285715</v>
      </c>
      <c r="F23" s="13">
        <f t="shared" si="4"/>
        <v>1.2285025330177202</v>
      </c>
      <c r="G23" s="60">
        <v>45203</v>
      </c>
    </row>
    <row r="24" spans="1:7" ht="56.25">
      <c r="A24" s="10" t="s">
        <v>79</v>
      </c>
      <c r="B24" s="11" t="s">
        <v>84</v>
      </c>
      <c r="C24" s="69">
        <v>1000</v>
      </c>
      <c r="D24" s="69">
        <v>1000</v>
      </c>
      <c r="E24" s="13">
        <f t="shared" si="2"/>
        <v>1</v>
      </c>
      <c r="F24" s="13">
        <f t="shared" si="4"/>
        <v>0.7142857142857143</v>
      </c>
      <c r="G24" s="60">
        <v>1400</v>
      </c>
    </row>
    <row r="25" spans="1:7" ht="100.5" customHeight="1">
      <c r="A25" s="75" t="s">
        <v>79</v>
      </c>
      <c r="B25" s="11" t="s">
        <v>118</v>
      </c>
      <c r="C25" s="69">
        <v>41527</v>
      </c>
      <c r="D25" s="69">
        <v>41527</v>
      </c>
      <c r="E25" s="13">
        <f t="shared" si="2"/>
        <v>1</v>
      </c>
      <c r="F25" s="13"/>
      <c r="G25" s="60"/>
    </row>
    <row r="26" spans="1:7" ht="56.25">
      <c r="A26" s="10" t="s">
        <v>57</v>
      </c>
      <c r="B26" s="11" t="s">
        <v>120</v>
      </c>
      <c r="C26" s="69">
        <v>40000</v>
      </c>
      <c r="D26" s="69">
        <v>45541</v>
      </c>
      <c r="E26" s="13">
        <f t="shared" si="2"/>
        <v>1.138525</v>
      </c>
      <c r="F26" s="13">
        <f t="shared" si="4"/>
        <v>0.9814870689655173</v>
      </c>
      <c r="G26" s="60">
        <v>46400</v>
      </c>
    </row>
    <row r="27" spans="1:7" ht="112.5">
      <c r="A27" s="10" t="s">
        <v>59</v>
      </c>
      <c r="B27" s="11" t="s">
        <v>85</v>
      </c>
      <c r="C27" s="41">
        <v>25473</v>
      </c>
      <c r="D27" s="69">
        <v>37603</v>
      </c>
      <c r="E27" s="13">
        <f t="shared" si="2"/>
        <v>1.4761904761904763</v>
      </c>
      <c r="F27" s="13">
        <f t="shared" si="4"/>
        <v>1.8687506212106153</v>
      </c>
      <c r="G27" s="60">
        <v>20122</v>
      </c>
    </row>
    <row r="28" spans="1:7" ht="37.5">
      <c r="A28" s="10" t="s">
        <v>86</v>
      </c>
      <c r="B28" s="11" t="s">
        <v>87</v>
      </c>
      <c r="C28" s="41">
        <v>80000</v>
      </c>
      <c r="D28" s="69">
        <v>85000</v>
      </c>
      <c r="E28" s="13">
        <f t="shared" si="2"/>
        <v>1.0625</v>
      </c>
      <c r="F28" s="13">
        <f>D28/G28</f>
        <v>1.0365853658536586</v>
      </c>
      <c r="G28" s="60">
        <v>82000</v>
      </c>
    </row>
    <row r="29" spans="1:7" ht="37.5">
      <c r="A29" s="10" t="s">
        <v>88</v>
      </c>
      <c r="B29" s="11" t="s">
        <v>89</v>
      </c>
      <c r="C29" s="41">
        <v>4000</v>
      </c>
      <c r="D29" s="69">
        <v>5807</v>
      </c>
      <c r="E29" s="13">
        <f t="shared" si="2"/>
        <v>1.4517500000000001</v>
      </c>
      <c r="F29" s="13">
        <f>D29/G29</f>
        <v>0.72388431812515586</v>
      </c>
      <c r="G29" s="60">
        <v>8022</v>
      </c>
    </row>
    <row r="30" spans="1:7" ht="18.75">
      <c r="A30" s="10" t="s">
        <v>90</v>
      </c>
      <c r="B30" s="11" t="s">
        <v>91</v>
      </c>
      <c r="C30" s="41">
        <v>105000</v>
      </c>
      <c r="D30" s="69">
        <v>185000</v>
      </c>
      <c r="E30" s="13">
        <f t="shared" si="2"/>
        <v>1.7619047619047619</v>
      </c>
      <c r="F30" s="13">
        <f>D30/G30</f>
        <v>1.575326135086345</v>
      </c>
      <c r="G30" s="60">
        <v>117436</v>
      </c>
    </row>
    <row r="31" spans="1:7" s="42" customFormat="1" ht="18.75">
      <c r="A31" s="40" t="s">
        <v>19</v>
      </c>
      <c r="B31" s="7" t="s">
        <v>15</v>
      </c>
      <c r="C31" s="38"/>
      <c r="D31" s="68"/>
      <c r="E31" s="9"/>
      <c r="F31" s="9"/>
      <c r="G31" s="59"/>
    </row>
    <row r="32" spans="1:7" ht="37.5">
      <c r="A32" s="34" t="s">
        <v>61</v>
      </c>
      <c r="B32" s="35" t="s">
        <v>92</v>
      </c>
      <c r="C32" s="38">
        <f>SUM(C33:C38)</f>
        <v>53000</v>
      </c>
      <c r="D32" s="68">
        <f>SUM(D33:D38)</f>
        <v>51000</v>
      </c>
      <c r="E32" s="9">
        <f t="shared" si="2"/>
        <v>0.96226415094339623</v>
      </c>
      <c r="F32" s="9">
        <f>D32/G32</f>
        <v>1.02</v>
      </c>
      <c r="G32" s="61">
        <v>50000</v>
      </c>
    </row>
    <row r="33" spans="1:11" ht="37.5">
      <c r="A33" s="36">
        <v>1</v>
      </c>
      <c r="B33" s="37" t="s">
        <v>93</v>
      </c>
      <c r="C33" s="41">
        <v>14000</v>
      </c>
      <c r="D33" s="69">
        <v>16103</v>
      </c>
      <c r="E33" s="13">
        <f t="shared" si="2"/>
        <v>1.1502142857142856</v>
      </c>
      <c r="F33" s="13">
        <f>D33/G33</f>
        <v>4.954769230769231</v>
      </c>
      <c r="G33" s="60">
        <v>3250</v>
      </c>
    </row>
    <row r="34" spans="1:11" ht="18.75">
      <c r="A34" s="36">
        <v>2</v>
      </c>
      <c r="B34" s="37" t="s">
        <v>94</v>
      </c>
      <c r="C34" s="41"/>
      <c r="D34" s="69">
        <v>3584</v>
      </c>
      <c r="E34" s="13"/>
      <c r="F34" s="13">
        <f>D34/G34</f>
        <v>0.81565771506599904</v>
      </c>
      <c r="G34" s="60">
        <v>4394</v>
      </c>
    </row>
    <row r="35" spans="1:11" ht="18.75">
      <c r="A35" s="36">
        <v>3</v>
      </c>
      <c r="B35" s="37" t="s">
        <v>95</v>
      </c>
      <c r="C35" s="41">
        <v>33000</v>
      </c>
      <c r="D35" s="69">
        <v>21078</v>
      </c>
      <c r="E35" s="13">
        <f t="shared" si="2"/>
        <v>0.6387272727272727</v>
      </c>
      <c r="F35" s="13">
        <f>D35/G35</f>
        <v>0.67240884295147862</v>
      </c>
      <c r="G35" s="60">
        <v>31347</v>
      </c>
    </row>
    <row r="36" spans="1:11" ht="37.5">
      <c r="A36" s="36">
        <v>4</v>
      </c>
      <c r="B36" s="37" t="s">
        <v>96</v>
      </c>
      <c r="C36" s="41"/>
      <c r="D36" s="69"/>
      <c r="E36" s="13"/>
      <c r="F36" s="13"/>
      <c r="G36" s="60"/>
    </row>
    <row r="37" spans="1:11" ht="37.5">
      <c r="A37" s="36">
        <v>5</v>
      </c>
      <c r="B37" s="37" t="s">
        <v>97</v>
      </c>
      <c r="C37" s="41"/>
      <c r="D37" s="69"/>
      <c r="E37" s="13"/>
      <c r="F37" s="13"/>
      <c r="G37" s="60"/>
    </row>
    <row r="38" spans="1:11" ht="18.75">
      <c r="A38" s="36">
        <v>6</v>
      </c>
      <c r="B38" s="37" t="s">
        <v>98</v>
      </c>
      <c r="C38" s="41">
        <v>6000</v>
      </c>
      <c r="D38" s="69">
        <v>10235</v>
      </c>
      <c r="E38" s="13"/>
      <c r="F38" s="13">
        <f>D38/G38</f>
        <v>0.92969388681987464</v>
      </c>
      <c r="G38" s="60">
        <v>11009</v>
      </c>
    </row>
    <row r="39" spans="1:11" ht="18.75">
      <c r="A39" s="21" t="s">
        <v>62</v>
      </c>
      <c r="B39" s="7" t="s">
        <v>18</v>
      </c>
      <c r="C39" s="38">
        <v>0</v>
      </c>
      <c r="D39" s="68">
        <v>21236</v>
      </c>
      <c r="E39" s="13"/>
      <c r="F39" s="13"/>
      <c r="G39" s="59"/>
    </row>
    <row r="40" spans="1:11" ht="18.75">
      <c r="A40" s="74" t="s">
        <v>63</v>
      </c>
      <c r="B40" s="7" t="s">
        <v>121</v>
      </c>
      <c r="C40" s="38">
        <v>20000</v>
      </c>
      <c r="D40" s="68">
        <v>11758</v>
      </c>
      <c r="E40" s="13">
        <v>0.63875757575757575</v>
      </c>
      <c r="F40" s="13">
        <f>D40/G40</f>
        <v>0.86685343556473016</v>
      </c>
      <c r="G40" s="59">
        <v>13564</v>
      </c>
    </row>
    <row r="41" spans="1:11" ht="56.25">
      <c r="A41" s="21" t="s">
        <v>21</v>
      </c>
      <c r="B41" s="7" t="s">
        <v>99</v>
      </c>
      <c r="C41" s="38">
        <f>SUM(C42:C43)</f>
        <v>3712800</v>
      </c>
      <c r="D41" s="68">
        <f>SUM(D42:D43)</f>
        <v>4164691</v>
      </c>
      <c r="E41" s="9">
        <f t="shared" si="2"/>
        <v>1.1217116461969403</v>
      </c>
      <c r="F41" s="9">
        <f>D41/G41</f>
        <v>1.267161499773324</v>
      </c>
      <c r="G41" s="60">
        <v>3286630</v>
      </c>
      <c r="J41">
        <v>3732292</v>
      </c>
    </row>
    <row r="42" spans="1:11" ht="18.75">
      <c r="A42" s="10" t="s">
        <v>12</v>
      </c>
      <c r="B42" s="11" t="s">
        <v>100</v>
      </c>
      <c r="C42" s="39">
        <v>2377500</v>
      </c>
      <c r="D42" s="69">
        <f>K42*D11</f>
        <v>2640775.4876968362</v>
      </c>
      <c r="E42" s="13">
        <f>D42/C42</f>
        <v>1.1107362724276915</v>
      </c>
      <c r="F42" s="13">
        <f>D42/G42</f>
        <v>1.0573294606788288</v>
      </c>
      <c r="G42" s="60">
        <v>2497590</v>
      </c>
      <c r="J42">
        <v>2366597</v>
      </c>
      <c r="K42">
        <f>J42/J41</f>
        <v>0.63408677563277471</v>
      </c>
    </row>
    <row r="43" spans="1:11" ht="37.5">
      <c r="A43" s="10" t="s">
        <v>14</v>
      </c>
      <c r="B43" s="11" t="s">
        <v>101</v>
      </c>
      <c r="C43" s="39">
        <v>1335300</v>
      </c>
      <c r="D43" s="69">
        <f>+K43*D11</f>
        <v>1523915.5123031638</v>
      </c>
      <c r="E43" s="13">
        <f t="shared" si="2"/>
        <v>1.1412532856310671</v>
      </c>
      <c r="F43" s="13">
        <f>D43/G43</f>
        <v>1.9313539393480226</v>
      </c>
      <c r="G43" s="41">
        <v>789040</v>
      </c>
      <c r="J43">
        <v>1365695</v>
      </c>
      <c r="K43">
        <f>+J43/J41</f>
        <v>0.36591322436722529</v>
      </c>
    </row>
  </sheetData>
  <mergeCells count="9">
    <mergeCell ref="G7:G8"/>
    <mergeCell ref="A1:B1"/>
    <mergeCell ref="A2:B2"/>
    <mergeCell ref="A4:F4"/>
    <mergeCell ref="A7:A8"/>
    <mergeCell ref="B7:B8"/>
    <mergeCell ref="C7:C8"/>
    <mergeCell ref="D7:D8"/>
    <mergeCell ref="E7:F7"/>
  </mergeCells>
  <printOptions horizontalCentered="1"/>
  <pageMargins left="0.11811023622047245" right="0.11811023622047245" top="0.78740157480314965" bottom="0.78740157480314965"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zoomScaleNormal="100" workbookViewId="0">
      <selection activeCell="O14" sqref="O14"/>
    </sheetView>
  </sheetViews>
  <sheetFormatPr defaultRowHeight="15"/>
  <cols>
    <col min="1" max="1" width="4.28515625" bestFit="1" customWidth="1"/>
    <col min="2" max="2" width="39.42578125" bestFit="1" customWidth="1"/>
    <col min="3" max="3" width="13.7109375" bestFit="1" customWidth="1"/>
    <col min="4" max="4" width="15.85546875" bestFit="1" customWidth="1"/>
    <col min="5" max="5" width="12.42578125" customWidth="1"/>
    <col min="6" max="6" width="14" customWidth="1"/>
    <col min="7" max="7" width="15.85546875" hidden="1" customWidth="1"/>
    <col min="8" max="8" width="56.7109375" hidden="1" customWidth="1"/>
    <col min="9" max="12" width="15.140625" hidden="1" customWidth="1"/>
    <col min="13" max="13" width="9.140625" hidden="1" customWidth="1"/>
    <col min="14" max="16" width="9.140625" customWidth="1"/>
  </cols>
  <sheetData>
    <row r="1" spans="1:13" ht="18.75">
      <c r="A1" s="86" t="s">
        <v>0</v>
      </c>
      <c r="B1" s="86"/>
      <c r="C1" s="22"/>
      <c r="D1" s="22"/>
      <c r="E1" s="23"/>
      <c r="F1" s="24" t="s">
        <v>39</v>
      </c>
      <c r="G1" s="22"/>
    </row>
    <row r="2" spans="1:13" ht="18.75">
      <c r="A2" s="87" t="s">
        <v>36</v>
      </c>
      <c r="B2" s="87"/>
      <c r="C2" s="22"/>
      <c r="D2" s="22"/>
      <c r="E2" s="23"/>
      <c r="F2" s="23"/>
      <c r="G2" s="22"/>
    </row>
    <row r="3" spans="1:13" ht="18.75">
      <c r="A3" s="25"/>
      <c r="B3" s="25"/>
      <c r="C3" s="22"/>
      <c r="D3" s="22"/>
      <c r="E3" s="23"/>
      <c r="F3" s="23"/>
      <c r="G3" s="22"/>
    </row>
    <row r="4" spans="1:13" ht="18.75">
      <c r="A4" s="88" t="s">
        <v>116</v>
      </c>
      <c r="B4" s="88"/>
      <c r="C4" s="88"/>
      <c r="D4" s="88"/>
      <c r="E4" s="88"/>
      <c r="F4" s="88"/>
    </row>
    <row r="5" spans="1:13" ht="18.75">
      <c r="A5" s="23"/>
      <c r="B5" s="23"/>
      <c r="C5" s="22"/>
      <c r="D5" s="22"/>
      <c r="E5" s="23"/>
      <c r="F5" s="23"/>
      <c r="G5" s="22"/>
    </row>
    <row r="6" spans="1:13" ht="18.75">
      <c r="A6" s="26" t="s">
        <v>2</v>
      </c>
      <c r="B6" s="23"/>
      <c r="C6" s="22"/>
      <c r="D6" s="22"/>
      <c r="E6" s="27"/>
      <c r="F6" s="18" t="s">
        <v>37</v>
      </c>
      <c r="G6" s="22"/>
    </row>
    <row r="7" spans="1:13" ht="61.5" customHeight="1">
      <c r="A7" s="81" t="s">
        <v>40</v>
      </c>
      <c r="B7" s="81" t="s">
        <v>5</v>
      </c>
      <c r="C7" s="85" t="s">
        <v>113</v>
      </c>
      <c r="D7" s="81" t="s">
        <v>122</v>
      </c>
      <c r="E7" s="81" t="s">
        <v>3</v>
      </c>
      <c r="F7" s="81"/>
      <c r="G7" s="85" t="s">
        <v>119</v>
      </c>
    </row>
    <row r="8" spans="1:13" ht="56.25">
      <c r="A8" s="81"/>
      <c r="B8" s="81"/>
      <c r="C8" s="85"/>
      <c r="D8" s="81"/>
      <c r="E8" s="19" t="s">
        <v>6</v>
      </c>
      <c r="F8" s="19" t="s">
        <v>7</v>
      </c>
      <c r="G8" s="85"/>
    </row>
    <row r="9" spans="1:13" s="4" customFormat="1" ht="18.75">
      <c r="A9" s="10" t="s">
        <v>8</v>
      </c>
      <c r="B9" s="10" t="s">
        <v>21</v>
      </c>
      <c r="C9" s="10">
        <v>1</v>
      </c>
      <c r="D9" s="10">
        <v>2</v>
      </c>
      <c r="E9" s="10" t="s">
        <v>109</v>
      </c>
      <c r="F9" s="10">
        <v>4</v>
      </c>
      <c r="G9" s="63"/>
    </row>
    <row r="10" spans="1:13" ht="18.75">
      <c r="A10" s="19"/>
      <c r="B10" s="7" t="s">
        <v>22</v>
      </c>
      <c r="C10" s="28">
        <f>+C11+C32</f>
        <v>8048242</v>
      </c>
      <c r="D10" s="28">
        <f>+D11+D32</f>
        <v>7984593</v>
      </c>
      <c r="E10" s="9">
        <f>D10/C10</f>
        <v>0.99209156484111682</v>
      </c>
      <c r="F10" s="9">
        <f>D10/G10</f>
        <v>0.99209156484111682</v>
      </c>
      <c r="G10" s="28">
        <f>+G11+G32</f>
        <v>8048242</v>
      </c>
    </row>
    <row r="11" spans="1:13" ht="18.75">
      <c r="A11" s="19" t="s">
        <v>8</v>
      </c>
      <c r="B11" s="7" t="s">
        <v>41</v>
      </c>
      <c r="C11" s="28">
        <f>+C12+C16+C28+C29+C30+C31</f>
        <v>5855557</v>
      </c>
      <c r="D11" s="28">
        <f>+D12+D16+D28+D29+D30+D31</f>
        <v>5878577</v>
      </c>
      <c r="E11" s="9">
        <f>D11/C11</f>
        <v>1.0039313083281403</v>
      </c>
      <c r="F11" s="9">
        <f t="shared" ref="F11:F13" si="0">D11/G11</f>
        <v>1.0039313083281403</v>
      </c>
      <c r="G11" s="28">
        <f>+G12+G16+G28+G29+G30+G31</f>
        <v>5855557</v>
      </c>
      <c r="I11" s="50">
        <v>849189</v>
      </c>
      <c r="L11" t="s">
        <v>110</v>
      </c>
    </row>
    <row r="12" spans="1:13" ht="18.75">
      <c r="A12" s="19" t="s">
        <v>10</v>
      </c>
      <c r="B12" s="7" t="s">
        <v>25</v>
      </c>
      <c r="C12" s="28">
        <f>SUM(C13:C15)</f>
        <v>1382080</v>
      </c>
      <c r="D12" s="28">
        <f>SUM(D13:D15)</f>
        <v>1424602</v>
      </c>
      <c r="E12" s="9">
        <f t="shared" ref="E12" si="1">D12/C12</f>
        <v>1.0307666705255847</v>
      </c>
      <c r="F12" s="9">
        <f>D12/G12</f>
        <v>1.0307666705255847</v>
      </c>
      <c r="G12" s="28">
        <f>SUM(G13:G15)</f>
        <v>1382080</v>
      </c>
      <c r="I12" s="50">
        <v>654874.34712100006</v>
      </c>
      <c r="L12" t="s">
        <v>111</v>
      </c>
    </row>
    <row r="13" spans="1:13" ht="18.75">
      <c r="A13" s="10" t="s">
        <v>12</v>
      </c>
      <c r="B13" s="11" t="s">
        <v>42</v>
      </c>
      <c r="C13" s="52">
        <v>1382080</v>
      </c>
      <c r="D13" s="52">
        <f>1424602-D14</f>
        <v>1423602</v>
      </c>
      <c r="E13" s="13">
        <f>D13/C13</f>
        <v>1.0300431234081964</v>
      </c>
      <c r="F13" s="13">
        <f t="shared" si="0"/>
        <v>1.0300431234081964</v>
      </c>
      <c r="G13" s="52">
        <v>1382080</v>
      </c>
      <c r="H13" t="s">
        <v>104</v>
      </c>
      <c r="I13" s="71">
        <f>+I11-I12</f>
        <v>194314.65287899994</v>
      </c>
      <c r="J13" s="71"/>
      <c r="K13" s="71"/>
    </row>
    <row r="14" spans="1:13" ht="112.5">
      <c r="A14" s="10" t="s">
        <v>14</v>
      </c>
      <c r="B14" s="11" t="s">
        <v>43</v>
      </c>
      <c r="C14" s="52"/>
      <c r="D14" s="2">
        <v>1000</v>
      </c>
      <c r="E14" s="13"/>
      <c r="F14" s="13"/>
      <c r="G14" s="52"/>
    </row>
    <row r="15" spans="1:13" ht="18.75">
      <c r="A15" s="10" t="s">
        <v>16</v>
      </c>
      <c r="B15" s="11" t="s">
        <v>44</v>
      </c>
      <c r="C15" s="2"/>
      <c r="D15" s="2"/>
      <c r="E15" s="13"/>
      <c r="F15" s="9"/>
      <c r="G15" s="2"/>
      <c r="H15" t="s">
        <v>107</v>
      </c>
      <c r="J15" s="72">
        <f>4387482-J16</f>
        <v>4125308.2727272725</v>
      </c>
      <c r="L15" t="s">
        <v>108</v>
      </c>
    </row>
    <row r="16" spans="1:13" ht="18.75">
      <c r="A16" s="19" t="s">
        <v>19</v>
      </c>
      <c r="B16" s="7" t="s">
        <v>26</v>
      </c>
      <c r="C16" s="1">
        <v>4351215</v>
      </c>
      <c r="D16" s="51">
        <v>4211143</v>
      </c>
      <c r="E16" s="9">
        <f>D16/C16</f>
        <v>0.96780853164001324</v>
      </c>
      <c r="F16" s="9">
        <f>D16/G16</f>
        <v>0.96780853164001324</v>
      </c>
      <c r="G16" s="1">
        <v>4351215</v>
      </c>
      <c r="H16">
        <v>138034</v>
      </c>
      <c r="I16" s="50">
        <v>182397.307975</v>
      </c>
      <c r="J16" s="50">
        <f>SUM(J18:J27)</f>
        <v>262173.72727272729</v>
      </c>
      <c r="K16" s="50">
        <f>+I16-H16</f>
        <v>44363.307975000003</v>
      </c>
      <c r="L16">
        <f>20000/4*3</f>
        <v>15000</v>
      </c>
      <c r="M16" s="43" t="s">
        <v>103</v>
      </c>
    </row>
    <row r="17" spans="1:13" ht="18.75">
      <c r="A17" s="10"/>
      <c r="B17" s="11" t="s">
        <v>45</v>
      </c>
      <c r="C17" s="2"/>
      <c r="D17" s="2"/>
      <c r="E17" s="14"/>
      <c r="F17" s="13"/>
      <c r="G17" s="2"/>
      <c r="H17" t="s">
        <v>106</v>
      </c>
    </row>
    <row r="18" spans="1:13" ht="37.5">
      <c r="A18" s="10" t="s">
        <v>12</v>
      </c>
      <c r="B18" s="11" t="s">
        <v>46</v>
      </c>
      <c r="C18" s="2">
        <v>1844702</v>
      </c>
      <c r="D18" s="2">
        <f>K18/3*3.2</f>
        <v>1768760.9212121211</v>
      </c>
      <c r="E18" s="13">
        <f t="shared" ref="E18:E28" si="2">D18/C18</f>
        <v>0.9588328744762683</v>
      </c>
      <c r="F18" s="13">
        <f t="shared" ref="F18:F27" si="3">D18/G18</f>
        <v>0.9588328744762683</v>
      </c>
      <c r="G18" s="2">
        <v>1844702</v>
      </c>
      <c r="H18">
        <f>73324-7705</f>
        <v>65619</v>
      </c>
      <c r="I18">
        <v>14272</v>
      </c>
      <c r="J18" s="50">
        <f>I18/11*19</f>
        <v>24651.636363636364</v>
      </c>
      <c r="K18">
        <v>1658213.3636363635</v>
      </c>
      <c r="L18">
        <f>190/4*3</f>
        <v>142.5</v>
      </c>
      <c r="M18">
        <f>H18/4</f>
        <v>16404.75</v>
      </c>
    </row>
    <row r="19" spans="1:13" ht="18.75">
      <c r="A19" s="10" t="s">
        <v>14</v>
      </c>
      <c r="B19" s="11" t="s">
        <v>47</v>
      </c>
      <c r="C19" s="2">
        <v>30762</v>
      </c>
      <c r="D19" s="2">
        <f t="shared" ref="D19:D27" si="4">K19/3*3.2</f>
        <v>25296</v>
      </c>
      <c r="E19" s="13">
        <f t="shared" si="2"/>
        <v>0.82231324361224889</v>
      </c>
      <c r="F19" s="13">
        <f t="shared" si="3"/>
        <v>0.82231324361224889</v>
      </c>
      <c r="G19" s="2">
        <v>30762</v>
      </c>
      <c r="K19">
        <v>23715</v>
      </c>
    </row>
    <row r="20" spans="1:13" ht="37.5">
      <c r="A20" s="10" t="s">
        <v>16</v>
      </c>
      <c r="B20" s="11" t="s">
        <v>48</v>
      </c>
      <c r="C20" s="2">
        <v>428157</v>
      </c>
      <c r="D20" s="2">
        <f t="shared" si="4"/>
        <v>414436.36363636365</v>
      </c>
      <c r="E20" s="13">
        <f t="shared" si="2"/>
        <v>0.96795419352331891</v>
      </c>
      <c r="F20" s="13">
        <f t="shared" si="3"/>
        <v>0.96795419352331891</v>
      </c>
      <c r="G20" s="2">
        <v>428157</v>
      </c>
      <c r="H20">
        <v>6783</v>
      </c>
      <c r="I20">
        <v>2249</v>
      </c>
      <c r="J20" s="50">
        <f>I20/11*13</f>
        <v>2657.909090909091</v>
      </c>
      <c r="K20">
        <v>388534.09090909088</v>
      </c>
    </row>
    <row r="21" spans="1:13" ht="18.75">
      <c r="A21" s="10" t="s">
        <v>17</v>
      </c>
      <c r="B21" s="11" t="s">
        <v>49</v>
      </c>
      <c r="C21" s="2">
        <v>57955</v>
      </c>
      <c r="D21" s="2">
        <f t="shared" si="4"/>
        <v>61616</v>
      </c>
      <c r="E21" s="13">
        <f t="shared" si="2"/>
        <v>1.0631697006297989</v>
      </c>
      <c r="F21" s="13">
        <f t="shared" si="3"/>
        <v>1.0631697006297989</v>
      </c>
      <c r="G21" s="2">
        <v>57955</v>
      </c>
      <c r="H21">
        <v>11657</v>
      </c>
      <c r="I21">
        <v>4775</v>
      </c>
      <c r="J21" s="50">
        <f>I21/11*11</f>
        <v>4775</v>
      </c>
      <c r="K21">
        <v>57765</v>
      </c>
      <c r="L21">
        <f>442/4*3</f>
        <v>331.5</v>
      </c>
    </row>
    <row r="22" spans="1:13" ht="37.5">
      <c r="A22" s="10" t="s">
        <v>29</v>
      </c>
      <c r="B22" s="11" t="s">
        <v>50</v>
      </c>
      <c r="C22" s="2">
        <v>28674</v>
      </c>
      <c r="D22" s="2">
        <f t="shared" si="4"/>
        <v>26251.05454545455</v>
      </c>
      <c r="E22" s="13">
        <f t="shared" si="2"/>
        <v>0.91550026314621435</v>
      </c>
      <c r="F22" s="13">
        <f t="shared" si="3"/>
        <v>0.91550026314621435</v>
      </c>
      <c r="G22" s="2">
        <v>28674</v>
      </c>
      <c r="H22">
        <v>251</v>
      </c>
      <c r="I22">
        <v>282</v>
      </c>
      <c r="J22" s="50">
        <f>I22/11*12</f>
        <v>307.63636363636363</v>
      </c>
      <c r="K22">
        <v>24610.363636363636</v>
      </c>
    </row>
    <row r="23" spans="1:13" ht="18.75">
      <c r="A23" s="10" t="s">
        <v>51</v>
      </c>
      <c r="B23" s="11" t="s">
        <v>52</v>
      </c>
      <c r="C23" s="2">
        <v>24787</v>
      </c>
      <c r="D23" s="2">
        <f t="shared" si="4"/>
        <v>22565.333333333336</v>
      </c>
      <c r="E23" s="13">
        <f t="shared" si="2"/>
        <v>0.91036968303277266</v>
      </c>
      <c r="F23" s="13">
        <f t="shared" si="3"/>
        <v>0.91036968303277266</v>
      </c>
      <c r="G23" s="2">
        <v>24787</v>
      </c>
      <c r="H23">
        <v>60</v>
      </c>
      <c r="I23">
        <v>60</v>
      </c>
      <c r="J23" s="50">
        <f>+I23</f>
        <v>60</v>
      </c>
      <c r="K23">
        <v>21155</v>
      </c>
    </row>
    <row r="24" spans="1:13" ht="18.75">
      <c r="A24" s="10" t="s">
        <v>53</v>
      </c>
      <c r="B24" s="11" t="s">
        <v>54</v>
      </c>
      <c r="C24" s="2">
        <v>90430</v>
      </c>
      <c r="D24" s="2">
        <f t="shared" si="4"/>
        <v>98071.466666666674</v>
      </c>
      <c r="E24" s="13">
        <f t="shared" si="2"/>
        <v>1.0845014560064876</v>
      </c>
      <c r="F24" s="13">
        <f t="shared" si="3"/>
        <v>1.0845014560064876</v>
      </c>
      <c r="G24" s="2">
        <v>90430</v>
      </c>
      <c r="H24">
        <v>878</v>
      </c>
      <c r="I24">
        <v>878</v>
      </c>
      <c r="J24" s="50">
        <f>+I24</f>
        <v>878</v>
      </c>
      <c r="K24">
        <v>91942</v>
      </c>
    </row>
    <row r="25" spans="1:13" ht="18.75">
      <c r="A25" s="10" t="s">
        <v>55</v>
      </c>
      <c r="B25" s="11" t="s">
        <v>56</v>
      </c>
      <c r="C25" s="2">
        <v>558505</v>
      </c>
      <c r="D25" s="2">
        <f t="shared" si="4"/>
        <v>643826.23030303046</v>
      </c>
      <c r="E25" s="13">
        <f t="shared" si="2"/>
        <v>1.1527671736207026</v>
      </c>
      <c r="F25" s="13">
        <f t="shared" si="3"/>
        <v>1.1527671736207026</v>
      </c>
      <c r="G25" s="2">
        <v>558505</v>
      </c>
      <c r="H25" s="50">
        <v>287171</v>
      </c>
      <c r="I25" s="50">
        <v>111065</v>
      </c>
      <c r="J25" s="50">
        <f>I25/11*17</f>
        <v>171645.90909090909</v>
      </c>
      <c r="K25" s="50">
        <v>603587.09090909094</v>
      </c>
      <c r="L25" s="50">
        <f>(2000+5921+33054)/4*3+2307</f>
        <v>33038.25</v>
      </c>
      <c r="M25">
        <f>H25/4</f>
        <v>71792.75</v>
      </c>
    </row>
    <row r="26" spans="1:13" ht="37.5">
      <c r="A26" s="10" t="s">
        <v>57</v>
      </c>
      <c r="B26" s="11" t="s">
        <v>58</v>
      </c>
      <c r="C26" s="2">
        <v>878908</v>
      </c>
      <c r="D26" s="2">
        <f t="shared" si="4"/>
        <v>828338.90909090918</v>
      </c>
      <c r="E26" s="13">
        <f t="shared" si="2"/>
        <v>0.94246372668232536</v>
      </c>
      <c r="F26" s="13">
        <f t="shared" si="3"/>
        <v>0.94246372668232536</v>
      </c>
      <c r="G26" s="2">
        <v>878908</v>
      </c>
      <c r="H26">
        <v>19170</v>
      </c>
      <c r="I26">
        <v>32754</v>
      </c>
      <c r="J26" s="50">
        <f>I26/11*13</f>
        <v>38709.272727272728</v>
      </c>
      <c r="K26">
        <v>776567.72727272729</v>
      </c>
      <c r="M26">
        <f>H26/4</f>
        <v>4792.5</v>
      </c>
    </row>
    <row r="27" spans="1:13" ht="18.75">
      <c r="A27" s="10" t="s">
        <v>59</v>
      </c>
      <c r="B27" s="11" t="s">
        <v>60</v>
      </c>
      <c r="C27" s="2">
        <v>292951</v>
      </c>
      <c r="D27" s="2">
        <f t="shared" si="4"/>
        <v>293651.87878787878</v>
      </c>
      <c r="E27" s="13">
        <f>D27/C27</f>
        <v>1.0023924778815527</v>
      </c>
      <c r="F27" s="13">
        <f t="shared" si="3"/>
        <v>1.0023924778815527</v>
      </c>
      <c r="G27" s="2">
        <v>292951</v>
      </c>
      <c r="H27">
        <v>7705</v>
      </c>
      <c r="I27">
        <v>15644</v>
      </c>
      <c r="J27" s="50">
        <f>I27/11*13</f>
        <v>18488.363636363636</v>
      </c>
      <c r="K27">
        <v>275298.63636363635</v>
      </c>
      <c r="L27">
        <f>200/4*3</f>
        <v>150</v>
      </c>
    </row>
    <row r="28" spans="1:13" ht="37.5">
      <c r="A28" s="19" t="s">
        <v>61</v>
      </c>
      <c r="B28" s="7" t="s">
        <v>27</v>
      </c>
      <c r="C28" s="29">
        <v>8100</v>
      </c>
      <c r="D28" s="51">
        <v>12619</v>
      </c>
      <c r="E28" s="44">
        <f t="shared" si="2"/>
        <v>1.5579012345679013</v>
      </c>
      <c r="F28" s="9"/>
      <c r="G28" s="29">
        <v>8100</v>
      </c>
    </row>
    <row r="29" spans="1:13" ht="37.5">
      <c r="A29" s="19" t="s">
        <v>62</v>
      </c>
      <c r="B29" s="7" t="s">
        <v>28</v>
      </c>
      <c r="C29" s="29">
        <v>1000</v>
      </c>
      <c r="D29" s="51">
        <v>11000</v>
      </c>
      <c r="E29" s="44">
        <f t="shared" ref="E29:E30" si="5">D29/C29</f>
        <v>11</v>
      </c>
      <c r="F29" s="9">
        <f t="shared" ref="F29" si="6">D29/G29</f>
        <v>11</v>
      </c>
      <c r="G29" s="29">
        <v>1000</v>
      </c>
    </row>
    <row r="30" spans="1:13" ht="18.75">
      <c r="A30" s="19" t="s">
        <v>63</v>
      </c>
      <c r="B30" s="7" t="s">
        <v>30</v>
      </c>
      <c r="C30" s="29">
        <v>113162</v>
      </c>
      <c r="D30" s="51">
        <v>0</v>
      </c>
      <c r="E30" s="44">
        <f t="shared" si="5"/>
        <v>0</v>
      </c>
      <c r="F30" s="9"/>
      <c r="G30" s="29">
        <v>113162</v>
      </c>
    </row>
    <row r="31" spans="1:13" ht="37.5">
      <c r="A31" s="30" t="s">
        <v>64</v>
      </c>
      <c r="B31" s="31" t="s">
        <v>38</v>
      </c>
      <c r="C31" s="29"/>
      <c r="D31" s="51">
        <v>219213</v>
      </c>
      <c r="E31" s="9"/>
      <c r="F31" s="9"/>
      <c r="G31" s="29"/>
    </row>
    <row r="32" spans="1:13" ht="56.25">
      <c r="A32" s="19" t="s">
        <v>21</v>
      </c>
      <c r="B32" s="7" t="s">
        <v>65</v>
      </c>
      <c r="C32" s="1">
        <f>SUM(C33:C35)</f>
        <v>2192685</v>
      </c>
      <c r="D32" s="1">
        <f>SUM(D33:D35)</f>
        <v>2106016</v>
      </c>
      <c r="E32" s="9">
        <f t="shared" ref="E32:E35" si="7">D32/C32</f>
        <v>0.96047357463566363</v>
      </c>
      <c r="F32" s="9">
        <f t="shared" ref="F32:F35" si="8">D32/G32</f>
        <v>0.96047357463566363</v>
      </c>
      <c r="G32" s="1">
        <f>SUM(G33:G35)</f>
        <v>2192685</v>
      </c>
      <c r="H32" s="71">
        <f>SUM(D33:D35)</f>
        <v>2106016</v>
      </c>
      <c r="I32" s="71">
        <f>+D32-H32</f>
        <v>0</v>
      </c>
    </row>
    <row r="33" spans="1:8" s="43" customFormat="1" ht="18.75">
      <c r="A33" s="10" t="s">
        <v>12</v>
      </c>
      <c r="B33" s="11" t="s">
        <v>66</v>
      </c>
      <c r="C33" s="2">
        <v>572214</v>
      </c>
      <c r="D33" s="52">
        <v>652823</v>
      </c>
      <c r="E33" s="13">
        <f t="shared" ref="E33" si="9">D33/C33</f>
        <v>1.1408721212693154</v>
      </c>
      <c r="F33" s="13">
        <f t="shared" si="8"/>
        <v>1.1408721212693154</v>
      </c>
      <c r="G33" s="2">
        <v>572214</v>
      </c>
      <c r="H33" s="43" t="s">
        <v>105</v>
      </c>
    </row>
    <row r="34" spans="1:8" ht="37.5">
      <c r="A34" s="10" t="s">
        <v>14</v>
      </c>
      <c r="B34" s="11" t="s">
        <v>67</v>
      </c>
      <c r="C34" s="2">
        <v>1304870</v>
      </c>
      <c r="D34" s="52">
        <v>1137592</v>
      </c>
      <c r="E34" s="13">
        <f t="shared" si="7"/>
        <v>0.87180485412339925</v>
      </c>
      <c r="F34" s="13">
        <f>D34/G34</f>
        <v>0.87180485412339925</v>
      </c>
      <c r="G34" s="2">
        <v>1304870</v>
      </c>
      <c r="H34">
        <v>2417209</v>
      </c>
    </row>
    <row r="35" spans="1:8" ht="37.5">
      <c r="A35" s="10" t="s">
        <v>16</v>
      </c>
      <c r="B35" s="11" t="s">
        <v>68</v>
      </c>
      <c r="C35" s="2">
        <v>315601</v>
      </c>
      <c r="D35" s="2">
        <v>315601</v>
      </c>
      <c r="E35" s="13">
        <f t="shared" si="7"/>
        <v>1</v>
      </c>
      <c r="F35" s="13">
        <f t="shared" si="8"/>
        <v>1</v>
      </c>
      <c r="G35" s="2">
        <v>315601</v>
      </c>
    </row>
  </sheetData>
  <mergeCells count="9">
    <mergeCell ref="G7:G8"/>
    <mergeCell ref="A1:B1"/>
    <mergeCell ref="A2:B2"/>
    <mergeCell ref="A4:F4"/>
    <mergeCell ref="A7:A8"/>
    <mergeCell ref="B7:B8"/>
    <mergeCell ref="C7:C8"/>
    <mergeCell ref="D7:D8"/>
    <mergeCell ref="E7:F7"/>
  </mergeCells>
  <printOptions horizontalCentered="1"/>
  <pageMargins left="0.11811023622047245" right="0.11811023622047245" top="0.78740157480314965" bottom="0.78740157480314965"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59</vt:lpstr>
      <vt:lpstr>60</vt:lpstr>
      <vt:lpstr>61</vt:lpstr>
      <vt:lpstr>'61'!Print_Area</vt:lpstr>
      <vt:lpstr>'60'!Print_Titles</vt:lpstr>
      <vt:lpstr>'61'!Print_Titles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2019-04-02T02:23:45Z</dcterms:created>
  <dcterms:modified xsi:type="dcterms:W3CDTF">2024-11-19T07:11:39Z</dcterms:modified>
</cp:coreProperties>
</file>